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arrangementen" sheetId="13" r:id="rId1"/>
    <sheet name="stats" sheetId="14" r:id="rId2"/>
  </sheets>
  <definedNames>
    <definedName name="_xlnm._FilterDatabase" localSheetId="0" hidden="1">arrangementen!$A$10:$P$111</definedName>
    <definedName name="solver_adj" localSheetId="0" hidden="1">arrangementen!$B$1:$B$7</definedName>
    <definedName name="solver_cvg" localSheetId="0" hidden="1">0.0001</definedName>
    <definedName name="solver_drv" localSheetId="0" hidden="1">1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lhs1" localSheetId="0" hidden="1">arrangementen!$B$1:$B$4</definedName>
    <definedName name="solver_lhs2" localSheetId="0" hidden="1">arrangementen!$B$5:$B$6</definedName>
    <definedName name="solver_lhs3" localSheetId="0" hidden="1">arrangementen!$B$7</definedName>
    <definedName name="solver_lhs4" localSheetId="0" hidden="1">arrangementen!$B$7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arrangementen!$Q$111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1</definedName>
    <definedName name="solver_rel3" localSheetId="0" hidden="1">1</definedName>
    <definedName name="solver_rel4" localSheetId="0" hidden="1">1</definedName>
    <definedName name="solver_rhs1" localSheetId="0" hidden="1">10</definedName>
    <definedName name="solver_rhs2" localSheetId="0" hidden="1">100</definedName>
    <definedName name="solver_rhs3" localSheetId="0" hidden="1">10</definedName>
    <definedName name="solver_rhs4" localSheetId="0" hidden="1">10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K12" i="13" l="1"/>
  <c r="M12" i="13" s="1"/>
  <c r="K13" i="13"/>
  <c r="M13" i="13" s="1"/>
  <c r="K14" i="13"/>
  <c r="M14" i="13" s="1"/>
  <c r="K15" i="13"/>
  <c r="M15" i="13" s="1"/>
  <c r="K16" i="13"/>
  <c r="M16" i="13" s="1"/>
  <c r="K17" i="13"/>
  <c r="M17" i="13" s="1"/>
  <c r="K18" i="13"/>
  <c r="M18" i="13" s="1"/>
  <c r="K19" i="13"/>
  <c r="M19" i="13" s="1"/>
  <c r="K20" i="13"/>
  <c r="M20" i="13" s="1"/>
  <c r="K21" i="13"/>
  <c r="M21" i="13" s="1"/>
  <c r="K22" i="13"/>
  <c r="M22" i="13" s="1"/>
  <c r="K23" i="13"/>
  <c r="M23" i="13" s="1"/>
  <c r="K24" i="13"/>
  <c r="M24" i="13" s="1"/>
  <c r="K25" i="13"/>
  <c r="M25" i="13" s="1"/>
  <c r="K26" i="13"/>
  <c r="M26" i="13" s="1"/>
  <c r="K27" i="13"/>
  <c r="M27" i="13" s="1"/>
  <c r="K28" i="13"/>
  <c r="M28" i="13" s="1"/>
  <c r="K29" i="13"/>
  <c r="M29" i="13" s="1"/>
  <c r="K30" i="13"/>
  <c r="M30" i="13" s="1"/>
  <c r="K31" i="13"/>
  <c r="M31" i="13" s="1"/>
  <c r="K32" i="13"/>
  <c r="M32" i="13" s="1"/>
  <c r="K33" i="13"/>
  <c r="M33" i="13" s="1"/>
  <c r="K34" i="13"/>
  <c r="M34" i="13" s="1"/>
  <c r="K35" i="13"/>
  <c r="M35" i="13" s="1"/>
  <c r="K36" i="13"/>
  <c r="M36" i="13" s="1"/>
  <c r="K37" i="13"/>
  <c r="M37" i="13" s="1"/>
  <c r="K38" i="13"/>
  <c r="M38" i="13" s="1"/>
  <c r="K39" i="13"/>
  <c r="M39" i="13" s="1"/>
  <c r="K40" i="13"/>
  <c r="M40" i="13" s="1"/>
  <c r="K41" i="13"/>
  <c r="M41" i="13" s="1"/>
  <c r="K42" i="13"/>
  <c r="M42" i="13" s="1"/>
  <c r="K43" i="13"/>
  <c r="M43" i="13" s="1"/>
  <c r="K44" i="13"/>
  <c r="M44" i="13" s="1"/>
  <c r="K45" i="13"/>
  <c r="M45" i="13" s="1"/>
  <c r="K46" i="13"/>
  <c r="M46" i="13" s="1"/>
  <c r="K47" i="13"/>
  <c r="M47" i="13" s="1"/>
  <c r="K48" i="13"/>
  <c r="M48" i="13" s="1"/>
  <c r="K49" i="13"/>
  <c r="M49" i="13" s="1"/>
  <c r="K50" i="13"/>
  <c r="M50" i="13" s="1"/>
  <c r="K51" i="13"/>
  <c r="M51" i="13" s="1"/>
  <c r="K52" i="13"/>
  <c r="M52" i="13" s="1"/>
  <c r="K53" i="13"/>
  <c r="M53" i="13" s="1"/>
  <c r="K54" i="13"/>
  <c r="M54" i="13" s="1"/>
  <c r="K55" i="13"/>
  <c r="M55" i="13" s="1"/>
  <c r="K56" i="13"/>
  <c r="M56" i="13" s="1"/>
  <c r="K57" i="13"/>
  <c r="M57" i="13" s="1"/>
  <c r="K58" i="13"/>
  <c r="M58" i="13" s="1"/>
  <c r="K59" i="13"/>
  <c r="M59" i="13" s="1"/>
  <c r="K60" i="13"/>
  <c r="M60" i="13" s="1"/>
  <c r="K61" i="13"/>
  <c r="M61" i="13" s="1"/>
  <c r="K62" i="13"/>
  <c r="M62" i="13" s="1"/>
  <c r="K63" i="13"/>
  <c r="M63" i="13" s="1"/>
  <c r="K64" i="13"/>
  <c r="M64" i="13" s="1"/>
  <c r="K65" i="13"/>
  <c r="M65" i="13" s="1"/>
  <c r="K66" i="13"/>
  <c r="M66" i="13" s="1"/>
  <c r="K67" i="13"/>
  <c r="M67" i="13" s="1"/>
  <c r="K68" i="13"/>
  <c r="M68" i="13" s="1"/>
  <c r="K69" i="13"/>
  <c r="M69" i="13" s="1"/>
  <c r="K70" i="13"/>
  <c r="M70" i="13" s="1"/>
  <c r="K71" i="13"/>
  <c r="M71" i="13" s="1"/>
  <c r="K72" i="13"/>
  <c r="M72" i="13" s="1"/>
  <c r="K73" i="13"/>
  <c r="M73" i="13" s="1"/>
  <c r="K74" i="13"/>
  <c r="M74" i="13" s="1"/>
  <c r="K75" i="13"/>
  <c r="M75" i="13" s="1"/>
  <c r="K76" i="13"/>
  <c r="M76" i="13" s="1"/>
  <c r="K77" i="13"/>
  <c r="M77" i="13" s="1"/>
  <c r="K78" i="13"/>
  <c r="M78" i="13" s="1"/>
  <c r="K79" i="13"/>
  <c r="M79" i="13" s="1"/>
  <c r="K80" i="13"/>
  <c r="M80" i="13" s="1"/>
  <c r="K81" i="13"/>
  <c r="M81" i="13" s="1"/>
  <c r="K82" i="13"/>
  <c r="M82" i="13" s="1"/>
  <c r="K83" i="13"/>
  <c r="M83" i="13" s="1"/>
  <c r="K84" i="13"/>
  <c r="M84" i="13" s="1"/>
  <c r="K85" i="13"/>
  <c r="M85" i="13" s="1"/>
  <c r="K86" i="13"/>
  <c r="M86" i="13" s="1"/>
  <c r="K87" i="13"/>
  <c r="M87" i="13" s="1"/>
  <c r="K88" i="13"/>
  <c r="M88" i="13" s="1"/>
  <c r="K89" i="13"/>
  <c r="M89" i="13" s="1"/>
  <c r="K90" i="13"/>
  <c r="M90" i="13" s="1"/>
  <c r="K91" i="13"/>
  <c r="M91" i="13" s="1"/>
  <c r="K92" i="13"/>
  <c r="M92" i="13" s="1"/>
  <c r="K93" i="13"/>
  <c r="M93" i="13" s="1"/>
  <c r="K94" i="13"/>
  <c r="M94" i="13" s="1"/>
  <c r="K95" i="13"/>
  <c r="M95" i="13" s="1"/>
  <c r="K96" i="13"/>
  <c r="M96" i="13" s="1"/>
  <c r="K97" i="13"/>
  <c r="M97" i="13" s="1"/>
  <c r="K98" i="13"/>
  <c r="M98" i="13" s="1"/>
  <c r="K99" i="13"/>
  <c r="M99" i="13" s="1"/>
  <c r="K100" i="13"/>
  <c r="M100" i="13" s="1"/>
  <c r="K101" i="13"/>
  <c r="M101" i="13" s="1"/>
  <c r="K102" i="13"/>
  <c r="M102" i="13" s="1"/>
  <c r="K103" i="13"/>
  <c r="M103" i="13" s="1"/>
  <c r="K104" i="13"/>
  <c r="M104" i="13" s="1"/>
  <c r="K105" i="13"/>
  <c r="M105" i="13" s="1"/>
  <c r="K106" i="13"/>
  <c r="M106" i="13" s="1"/>
  <c r="K107" i="13"/>
  <c r="M107" i="13" s="1"/>
  <c r="K108" i="13"/>
  <c r="M108" i="13" s="1"/>
  <c r="K109" i="13"/>
  <c r="M109" i="13" s="1"/>
  <c r="K110" i="13"/>
  <c r="M110" i="13" s="1"/>
  <c r="K11" i="13"/>
  <c r="M11" i="13" s="1"/>
  <c r="C3" i="14"/>
  <c r="D3" i="14"/>
  <c r="E3" i="14"/>
  <c r="C4" i="14"/>
  <c r="D4" i="14"/>
  <c r="E4" i="14"/>
  <c r="C5" i="14"/>
  <c r="D5" i="14"/>
  <c r="E5" i="14"/>
  <c r="C6" i="14"/>
  <c r="D6" i="14"/>
  <c r="E6" i="14"/>
  <c r="C7" i="14"/>
  <c r="D7" i="14"/>
  <c r="E7" i="14"/>
  <c r="C2" i="14"/>
  <c r="D2" i="14"/>
  <c r="E2" i="14"/>
  <c r="B5" i="14" l="1"/>
  <c r="B2" i="14"/>
  <c r="B4" i="14"/>
  <c r="B6" i="14"/>
  <c r="B3" i="14"/>
  <c r="B7" i="14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74" i="13"/>
  <c r="J75" i="13"/>
  <c r="J76" i="13"/>
  <c r="J77" i="13"/>
  <c r="J78" i="13"/>
  <c r="J79" i="13"/>
  <c r="J80" i="13"/>
  <c r="J81" i="13"/>
  <c r="J82" i="13"/>
  <c r="J83" i="13"/>
  <c r="J84" i="13"/>
  <c r="J85" i="13"/>
  <c r="J86" i="13"/>
  <c r="J87" i="13"/>
  <c r="J88" i="13"/>
  <c r="J89" i="13"/>
  <c r="J90" i="13"/>
  <c r="J91" i="13"/>
  <c r="J92" i="13"/>
  <c r="J93" i="13"/>
  <c r="J94" i="13"/>
  <c r="J95" i="13"/>
  <c r="J96" i="13"/>
  <c r="J97" i="13"/>
  <c r="J98" i="13"/>
  <c r="J99" i="13"/>
  <c r="J100" i="13"/>
  <c r="J101" i="13"/>
  <c r="J102" i="13"/>
  <c r="J103" i="13"/>
  <c r="J104" i="13"/>
  <c r="J105" i="13"/>
  <c r="J106" i="13"/>
  <c r="J107" i="13"/>
  <c r="J108" i="13"/>
  <c r="J109" i="13"/>
  <c r="J110" i="13"/>
  <c r="J11" i="13"/>
  <c r="N11" i="13"/>
  <c r="N13" i="13"/>
  <c r="L110" i="13" l="1"/>
  <c r="N14" i="13" l="1"/>
  <c r="N12" i="13"/>
  <c r="N15" i="13" l="1"/>
  <c r="L106" i="13"/>
  <c r="L107" i="13"/>
  <c r="L108" i="13"/>
  <c r="L70" i="13"/>
  <c r="L71" i="13"/>
  <c r="L68" i="13"/>
  <c r="L45" i="13"/>
  <c r="L42" i="13"/>
  <c r="L11" i="13"/>
  <c r="L12" i="13"/>
  <c r="O12" i="13" s="1"/>
  <c r="Q12" i="13" s="1"/>
  <c r="O11" i="13" l="1"/>
  <c r="Q11" i="13" s="1"/>
  <c r="N16" i="13"/>
  <c r="P12" i="13"/>
  <c r="L19" i="13"/>
  <c r="L22" i="13"/>
  <c r="L14" i="13"/>
  <c r="L13" i="13"/>
  <c r="O13" i="13" s="1"/>
  <c r="Q13" i="13" s="1"/>
  <c r="L15" i="13"/>
  <c r="O15" i="13" s="1"/>
  <c r="Q15" i="13" s="1"/>
  <c r="L16" i="13"/>
  <c r="L18" i="13"/>
  <c r="L20" i="13"/>
  <c r="L17" i="13"/>
  <c r="L21" i="13"/>
  <c r="L23" i="13"/>
  <c r="P11" i="13" l="1"/>
  <c r="O16" i="13"/>
  <c r="N17" i="13"/>
  <c r="O17" i="13" s="1"/>
  <c r="O14" i="13"/>
  <c r="P15" i="13"/>
  <c r="P13" i="13"/>
  <c r="L78" i="13"/>
  <c r="L59" i="13"/>
  <c r="L72" i="13"/>
  <c r="L66" i="13"/>
  <c r="L64" i="13"/>
  <c r="L53" i="13"/>
  <c r="L48" i="13"/>
  <c r="L55" i="13"/>
  <c r="L60" i="13"/>
  <c r="L77" i="13"/>
  <c r="L79" i="13"/>
  <c r="L81" i="13"/>
  <c r="L47" i="13"/>
  <c r="L43" i="13"/>
  <c r="L83" i="13"/>
  <c r="L54" i="13"/>
  <c r="L63" i="13"/>
  <c r="L52" i="13"/>
  <c r="L76" i="13"/>
  <c r="L74" i="13"/>
  <c r="L73" i="13"/>
  <c r="L84" i="13"/>
  <c r="L56" i="13"/>
  <c r="L57" i="13"/>
  <c r="L61" i="13"/>
  <c r="L49" i="13"/>
  <c r="L58" i="13"/>
  <c r="L85" i="13"/>
  <c r="L86" i="13"/>
  <c r="L65" i="13"/>
  <c r="L67" i="13"/>
  <c r="L89" i="13"/>
  <c r="L88" i="13"/>
  <c r="L69" i="13"/>
  <c r="L46" i="13"/>
  <c r="L80" i="13"/>
  <c r="L90" i="13"/>
  <c r="L87" i="13"/>
  <c r="L91" i="13"/>
  <c r="L62" i="13"/>
  <c r="L75" i="13"/>
  <c r="L82" i="13"/>
  <c r="L51" i="13"/>
  <c r="L96" i="13"/>
  <c r="L101" i="13"/>
  <c r="L94" i="13"/>
  <c r="L95" i="13"/>
  <c r="L99" i="13"/>
  <c r="L100" i="13"/>
  <c r="L97" i="13"/>
  <c r="L98" i="13"/>
  <c r="L105" i="13"/>
  <c r="L102" i="13"/>
  <c r="L103" i="13"/>
  <c r="L93" i="13"/>
  <c r="L92" i="13"/>
  <c r="L104" i="13"/>
  <c r="L109" i="13"/>
  <c r="L28" i="13"/>
  <c r="L35" i="13"/>
  <c r="L36" i="13"/>
  <c r="L33" i="13"/>
  <c r="L31" i="13"/>
  <c r="L29" i="13"/>
  <c r="L30" i="13"/>
  <c r="L34" i="13"/>
  <c r="L32" i="13"/>
  <c r="L37" i="13"/>
  <c r="L38" i="13"/>
  <c r="L39" i="13"/>
  <c r="L40" i="13"/>
  <c r="L41" i="13"/>
  <c r="L25" i="13"/>
  <c r="L27" i="13"/>
  <c r="L24" i="13"/>
  <c r="F6" i="14" s="1"/>
  <c r="L26" i="13"/>
  <c r="L50" i="13"/>
  <c r="L44" i="13"/>
  <c r="F3" i="14" l="1"/>
  <c r="F2" i="14"/>
  <c r="F7" i="14"/>
  <c r="F4" i="14"/>
  <c r="F5" i="14"/>
  <c r="P14" i="13"/>
  <c r="Q14" i="13"/>
  <c r="P17" i="13"/>
  <c r="Q17" i="13"/>
  <c r="P16" i="13"/>
  <c r="Q16" i="13"/>
  <c r="N18" i="13"/>
  <c r="O18" i="13" s="1"/>
  <c r="Q18" i="13" s="1"/>
  <c r="A8" i="14" a="1"/>
  <c r="A8" i="14" s="1"/>
  <c r="N19" i="13" l="1"/>
  <c r="O19" i="13" s="1"/>
  <c r="Q19" i="13" s="1"/>
  <c r="P18" i="13"/>
  <c r="A9" i="14" a="1"/>
  <c r="A9" i="14" s="1"/>
  <c r="F8" i="14"/>
  <c r="D8" i="14"/>
  <c r="N20" i="13" l="1"/>
  <c r="O20" i="13" s="1"/>
  <c r="Q20" i="13" s="1"/>
  <c r="P19" i="13"/>
  <c r="A10" i="14" a="1"/>
  <c r="A10" i="14" s="1"/>
  <c r="C9" i="14"/>
  <c r="F9" i="14"/>
  <c r="D9" i="14"/>
  <c r="N21" i="13" l="1"/>
  <c r="O21" i="13" s="1"/>
  <c r="Q21" i="13" s="1"/>
  <c r="P20" i="13"/>
  <c r="A11" i="14" a="1"/>
  <c r="A11" i="14" s="1"/>
  <c r="E10" i="14"/>
  <c r="F10" i="14"/>
  <c r="D10" i="14"/>
  <c r="C10" i="14"/>
  <c r="N22" i="13" l="1"/>
  <c r="O22" i="13" s="1"/>
  <c r="Q22" i="13" s="1"/>
  <c r="P21" i="13"/>
  <c r="C11" i="14"/>
  <c r="F11" i="14"/>
  <c r="D11" i="14"/>
  <c r="E11" i="14"/>
  <c r="A12" i="14" a="1"/>
  <c r="A12" i="14" s="1"/>
  <c r="N23" i="13" l="1"/>
  <c r="O23" i="13" s="1"/>
  <c r="Q23" i="13" s="1"/>
  <c r="P22" i="13"/>
  <c r="E12" i="14"/>
  <c r="D12" i="14"/>
  <c r="C12" i="14"/>
  <c r="F12" i="14"/>
  <c r="A13" i="14" a="1"/>
  <c r="A13" i="14" s="1"/>
  <c r="N24" i="13" l="1"/>
  <c r="O24" i="13" s="1"/>
  <c r="Q24" i="13" s="1"/>
  <c r="P23" i="13"/>
  <c r="D13" i="14"/>
  <c r="E13" i="14"/>
  <c r="F13" i="14"/>
  <c r="C13" i="14"/>
  <c r="A14" i="14" a="1"/>
  <c r="A14" i="14" s="1"/>
  <c r="N25" i="13" l="1"/>
  <c r="O25" i="13" s="1"/>
  <c r="Q25" i="13" s="1"/>
  <c r="P24" i="13"/>
  <c r="A15" i="14" a="1"/>
  <c r="A15" i="14" s="1"/>
  <c r="D14" i="14"/>
  <c r="C14" i="14"/>
  <c r="F14" i="14"/>
  <c r="N26" i="13" l="1"/>
  <c r="O26" i="13" s="1"/>
  <c r="Q26" i="13" s="1"/>
  <c r="P25" i="13"/>
  <c r="C15" i="14"/>
  <c r="F15" i="14"/>
  <c r="D15" i="14"/>
  <c r="A16" i="14" a="1"/>
  <c r="A16" i="14" s="1"/>
  <c r="N27" i="13" l="1"/>
  <c r="O27" i="13" s="1"/>
  <c r="Q27" i="13" s="1"/>
  <c r="P26" i="13"/>
  <c r="F16" i="14"/>
  <c r="C16" i="14"/>
  <c r="D16" i="14"/>
  <c r="A17" i="14" a="1"/>
  <c r="A17" i="14" s="1"/>
  <c r="N28" i="13" l="1"/>
  <c r="O28" i="13" s="1"/>
  <c r="Q28" i="13" s="1"/>
  <c r="P27" i="13"/>
  <c r="A18" i="14" a="1"/>
  <c r="A18" i="14" s="1"/>
  <c r="F17" i="14"/>
  <c r="C17" i="14"/>
  <c r="E17" i="14"/>
  <c r="D17" i="14"/>
  <c r="N29" i="13" l="1"/>
  <c r="O29" i="13" s="1"/>
  <c r="Q29" i="13" s="1"/>
  <c r="P28" i="13"/>
  <c r="A19" i="14" a="1"/>
  <c r="A19" i="14" s="1"/>
  <c r="F18" i="14"/>
  <c r="C18" i="14"/>
  <c r="E18" i="14"/>
  <c r="D18" i="14"/>
  <c r="N30" i="13" l="1"/>
  <c r="O30" i="13" s="1"/>
  <c r="Q30" i="13" s="1"/>
  <c r="P29" i="13"/>
  <c r="D19" i="14"/>
  <c r="A20" i="14" a="1"/>
  <c r="A20" i="14" s="1"/>
  <c r="E19" i="14"/>
  <c r="F19" i="14"/>
  <c r="C19" i="14"/>
  <c r="N31" i="13" l="1"/>
  <c r="O31" i="13" s="1"/>
  <c r="Q31" i="13" s="1"/>
  <c r="P30" i="13"/>
  <c r="A21" i="14" a="1"/>
  <c r="A21" i="14" s="1"/>
  <c r="E20" i="14"/>
  <c r="D20" i="14"/>
  <c r="C20" i="14"/>
  <c r="F20" i="14"/>
  <c r="N32" i="13" l="1"/>
  <c r="O32" i="13" s="1"/>
  <c r="Q32" i="13" s="1"/>
  <c r="P31" i="13"/>
  <c r="A22" i="14" a="1"/>
  <c r="A22" i="14" s="1"/>
  <c r="D21" i="14"/>
  <c r="C21" i="14"/>
  <c r="F21" i="14"/>
  <c r="N33" i="13" l="1"/>
  <c r="O33" i="13" s="1"/>
  <c r="Q33" i="13" s="1"/>
  <c r="P32" i="13"/>
  <c r="A23" i="14" a="1"/>
  <c r="A23" i="14" s="1"/>
  <c r="C22" i="14"/>
  <c r="D22" i="14"/>
  <c r="F22" i="14"/>
  <c r="N34" i="13" l="1"/>
  <c r="O34" i="13" s="1"/>
  <c r="Q34" i="13" s="1"/>
  <c r="P33" i="13"/>
  <c r="A24" i="14" a="1"/>
  <c r="A24" i="14" s="1"/>
  <c r="F23" i="14"/>
  <c r="D23" i="14"/>
  <c r="C23" i="14"/>
  <c r="N35" i="13" l="1"/>
  <c r="O35" i="13" s="1"/>
  <c r="Q35" i="13" s="1"/>
  <c r="P34" i="13"/>
  <c r="A25" i="14" a="1"/>
  <c r="A25" i="14" s="1"/>
  <c r="D24" i="14"/>
  <c r="C24" i="14"/>
  <c r="F24" i="14"/>
  <c r="N36" i="13" l="1"/>
  <c r="O36" i="13" s="1"/>
  <c r="Q36" i="13" s="1"/>
  <c r="P35" i="13"/>
  <c r="A26" i="14" a="1"/>
  <c r="A26" i="14" s="1"/>
  <c r="F25" i="14"/>
  <c r="D25" i="14"/>
  <c r="C25" i="14"/>
  <c r="N37" i="13" l="1"/>
  <c r="O37" i="13" s="1"/>
  <c r="Q37" i="13" s="1"/>
  <c r="P36" i="13"/>
  <c r="A27" i="14" a="1"/>
  <c r="A27" i="14" s="1"/>
  <c r="F26" i="14"/>
  <c r="C26" i="14"/>
  <c r="D26" i="14"/>
  <c r="N38" i="13" l="1"/>
  <c r="O38" i="13" s="1"/>
  <c r="Q38" i="13" s="1"/>
  <c r="P37" i="13"/>
  <c r="A28" i="14" a="1"/>
  <c r="A28" i="14" s="1"/>
  <c r="D27" i="14"/>
  <c r="C27" i="14"/>
  <c r="B27" i="14"/>
  <c r="F27" i="14"/>
  <c r="N39" i="13" l="1"/>
  <c r="O39" i="13" s="1"/>
  <c r="Q39" i="13" s="1"/>
  <c r="P38" i="13"/>
  <c r="A29" i="14" a="1"/>
  <c r="A29" i="14" s="1"/>
  <c r="F28" i="14"/>
  <c r="D28" i="14"/>
  <c r="C28" i="14"/>
  <c r="B28" i="14"/>
  <c r="N40" i="13" l="1"/>
  <c r="O40" i="13" s="1"/>
  <c r="Q40" i="13" s="1"/>
  <c r="P39" i="13"/>
  <c r="B29" i="14"/>
  <c r="D29" i="14"/>
  <c r="A30" i="14" a="1"/>
  <c r="A30" i="14" s="1"/>
  <c r="C29" i="14"/>
  <c r="F29" i="14"/>
  <c r="N41" i="13" l="1"/>
  <c r="O41" i="13" s="1"/>
  <c r="Q41" i="13" s="1"/>
  <c r="P40" i="13"/>
  <c r="D30" i="14"/>
  <c r="F30" i="14"/>
  <c r="B30" i="14"/>
  <c r="A31" i="14" a="1"/>
  <c r="A31" i="14" s="1"/>
  <c r="C30" i="14"/>
  <c r="N42" i="13" l="1"/>
  <c r="O42" i="13" s="1"/>
  <c r="Q42" i="13" s="1"/>
  <c r="P41" i="13"/>
  <c r="A32" i="14" a="1"/>
  <c r="A32" i="14" s="1"/>
  <c r="B31" i="14"/>
  <c r="D31" i="14"/>
  <c r="F31" i="14"/>
  <c r="C31" i="14"/>
  <c r="N43" i="13" l="1"/>
  <c r="O43" i="13" s="1"/>
  <c r="Q43" i="13" s="1"/>
  <c r="P42" i="13"/>
  <c r="A33" i="14" a="1"/>
  <c r="A33" i="14" s="1"/>
  <c r="F32" i="14"/>
  <c r="C32" i="14"/>
  <c r="D32" i="14"/>
  <c r="B32" i="14"/>
  <c r="N44" i="13" l="1"/>
  <c r="O44" i="13" s="1"/>
  <c r="Q44" i="13" s="1"/>
  <c r="P43" i="13"/>
  <c r="A34" i="14" a="1"/>
  <c r="A34" i="14" s="1"/>
  <c r="F33" i="14"/>
  <c r="D33" i="14"/>
  <c r="B33" i="14"/>
  <c r="N45" i="13" l="1"/>
  <c r="O45" i="13" s="1"/>
  <c r="Q45" i="13" s="1"/>
  <c r="P44" i="13"/>
  <c r="A35" i="14" a="1"/>
  <c r="A35" i="14" s="1"/>
  <c r="B34" i="14"/>
  <c r="D34" i="14"/>
  <c r="F34" i="14"/>
  <c r="N46" i="13" l="1"/>
  <c r="O46" i="13" s="1"/>
  <c r="Q46" i="13" s="1"/>
  <c r="P45" i="13"/>
  <c r="E21" i="14"/>
  <c r="E22" i="14"/>
  <c r="E23" i="14"/>
  <c r="E24" i="14"/>
  <c r="E25" i="14"/>
  <c r="E26" i="14"/>
  <c r="E27" i="14"/>
  <c r="E28" i="14"/>
  <c r="E30" i="14"/>
  <c r="E31" i="14"/>
  <c r="E32" i="14"/>
  <c r="E15" i="14"/>
  <c r="E14" i="14"/>
  <c r="E9" i="14"/>
  <c r="A36" i="14" a="1"/>
  <c r="A36" i="14" s="1"/>
  <c r="B35" i="14"/>
  <c r="F35" i="14"/>
  <c r="D35" i="14"/>
  <c r="N47" i="13" l="1"/>
  <c r="O47" i="13" s="1"/>
  <c r="Q47" i="13" s="1"/>
  <c r="P46" i="13"/>
  <c r="A37" i="14" a="1"/>
  <c r="A37" i="14" s="1"/>
  <c r="B36" i="14"/>
  <c r="F36" i="14"/>
  <c r="D36" i="14"/>
  <c r="N48" i="13" l="1"/>
  <c r="O48" i="13" s="1"/>
  <c r="Q48" i="13" s="1"/>
  <c r="P47" i="13"/>
  <c r="A38" i="14" a="1"/>
  <c r="A38" i="14" s="1"/>
  <c r="F37" i="14"/>
  <c r="D37" i="14"/>
  <c r="B37" i="14"/>
  <c r="N49" i="13" l="1"/>
  <c r="O49" i="13" s="1"/>
  <c r="Q49" i="13" s="1"/>
  <c r="P48" i="13"/>
  <c r="A39" i="14" a="1"/>
  <c r="A39" i="14" s="1"/>
  <c r="B38" i="14"/>
  <c r="F38" i="14"/>
  <c r="D38" i="14"/>
  <c r="N50" i="13" l="1"/>
  <c r="O50" i="13" s="1"/>
  <c r="Q50" i="13" s="1"/>
  <c r="P49" i="13"/>
  <c r="A40" i="14" a="1"/>
  <c r="A40" i="14" s="1"/>
  <c r="F39" i="14"/>
  <c r="D39" i="14"/>
  <c r="B39" i="14"/>
  <c r="N51" i="13" l="1"/>
  <c r="O51" i="13" s="1"/>
  <c r="Q51" i="13" s="1"/>
  <c r="P50" i="13"/>
  <c r="A41" i="14" a="1"/>
  <c r="A41" i="14" s="1"/>
  <c r="F40" i="14"/>
  <c r="D40" i="14"/>
  <c r="B40" i="14"/>
  <c r="N52" i="13" l="1"/>
  <c r="O52" i="13" s="1"/>
  <c r="Q52" i="13" s="1"/>
  <c r="P51" i="13"/>
  <c r="F41" i="14"/>
  <c r="B41" i="14"/>
  <c r="D41" i="14"/>
  <c r="N53" i="13" l="1"/>
  <c r="O53" i="13" s="1"/>
  <c r="Q53" i="13" s="1"/>
  <c r="P52" i="13"/>
  <c r="E8" i="14"/>
  <c r="C8" i="14"/>
  <c r="N54" i="13" l="1"/>
  <c r="O54" i="13" s="1"/>
  <c r="Q54" i="13" s="1"/>
  <c r="P53" i="13"/>
  <c r="C33" i="14"/>
  <c r="C34" i="14"/>
  <c r="C35" i="14"/>
  <c r="C36" i="14"/>
  <c r="C37" i="14"/>
  <c r="C38" i="14"/>
  <c r="C39" i="14"/>
  <c r="C40" i="14"/>
  <c r="C41" i="14"/>
  <c r="E16" i="14"/>
  <c r="N55" i="13" l="1"/>
  <c r="O55" i="13" s="1"/>
  <c r="Q55" i="13" s="1"/>
  <c r="P54" i="13"/>
  <c r="E29" i="14"/>
  <c r="E34" i="14"/>
  <c r="E33" i="14"/>
  <c r="E35" i="14"/>
  <c r="E36" i="14"/>
  <c r="E37" i="14"/>
  <c r="E38" i="14"/>
  <c r="E39" i="14"/>
  <c r="E40" i="14"/>
  <c r="E41" i="14"/>
  <c r="N56" i="13" l="1"/>
  <c r="O56" i="13" s="1"/>
  <c r="Q56" i="13" s="1"/>
  <c r="P55" i="13"/>
  <c r="N57" i="13" l="1"/>
  <c r="O57" i="13" s="1"/>
  <c r="Q57" i="13" s="1"/>
  <c r="P56" i="13"/>
  <c r="N58" i="13" l="1"/>
  <c r="O58" i="13" s="1"/>
  <c r="Q58" i="13" s="1"/>
  <c r="P57" i="13"/>
  <c r="N59" i="13" l="1"/>
  <c r="O59" i="13" s="1"/>
  <c r="Q59" i="13" s="1"/>
  <c r="P58" i="13"/>
  <c r="N60" i="13" l="1"/>
  <c r="O60" i="13" s="1"/>
  <c r="Q60" i="13" s="1"/>
  <c r="P59" i="13"/>
  <c r="N61" i="13" l="1"/>
  <c r="O61" i="13" s="1"/>
  <c r="Q61" i="13" s="1"/>
  <c r="P60" i="13"/>
  <c r="N62" i="13" l="1"/>
  <c r="O62" i="13" s="1"/>
  <c r="Q62" i="13" s="1"/>
  <c r="P61" i="13"/>
  <c r="N63" i="13" l="1"/>
  <c r="O63" i="13" s="1"/>
  <c r="Q63" i="13" s="1"/>
  <c r="P62" i="13"/>
  <c r="N64" i="13" l="1"/>
  <c r="O64" i="13" s="1"/>
  <c r="Q64" i="13" s="1"/>
  <c r="P63" i="13"/>
  <c r="N65" i="13" l="1"/>
  <c r="O65" i="13" s="1"/>
  <c r="Q65" i="13" s="1"/>
  <c r="P64" i="13"/>
  <c r="N66" i="13" l="1"/>
  <c r="O66" i="13" s="1"/>
  <c r="Q66" i="13" s="1"/>
  <c r="P65" i="13"/>
  <c r="N67" i="13" l="1"/>
  <c r="O67" i="13" s="1"/>
  <c r="Q67" i="13" s="1"/>
  <c r="P66" i="13"/>
  <c r="N68" i="13" l="1"/>
  <c r="O68" i="13" s="1"/>
  <c r="Q68" i="13" s="1"/>
  <c r="P67" i="13"/>
  <c r="N69" i="13" l="1"/>
  <c r="O69" i="13" s="1"/>
  <c r="Q69" i="13" s="1"/>
  <c r="P68" i="13"/>
  <c r="N70" i="13" l="1"/>
  <c r="O70" i="13" s="1"/>
  <c r="Q70" i="13" s="1"/>
  <c r="P69" i="13"/>
  <c r="N71" i="13" l="1"/>
  <c r="O71" i="13" s="1"/>
  <c r="Q71" i="13" s="1"/>
  <c r="P70" i="13"/>
  <c r="N72" i="13" l="1"/>
  <c r="O72" i="13" s="1"/>
  <c r="Q72" i="13" s="1"/>
  <c r="P71" i="13"/>
  <c r="N73" i="13" l="1"/>
  <c r="O73" i="13" s="1"/>
  <c r="Q73" i="13" s="1"/>
  <c r="P72" i="13"/>
  <c r="N74" i="13" l="1"/>
  <c r="O74" i="13" s="1"/>
  <c r="Q74" i="13" s="1"/>
  <c r="P73" i="13"/>
  <c r="N75" i="13" l="1"/>
  <c r="O75" i="13" s="1"/>
  <c r="Q75" i="13" s="1"/>
  <c r="P74" i="13"/>
  <c r="N76" i="13" l="1"/>
  <c r="O76" i="13" s="1"/>
  <c r="Q76" i="13" s="1"/>
  <c r="P75" i="13"/>
  <c r="N77" i="13" l="1"/>
  <c r="O77" i="13" s="1"/>
  <c r="Q77" i="13" s="1"/>
  <c r="P76" i="13"/>
  <c r="N78" i="13" l="1"/>
  <c r="O78" i="13" s="1"/>
  <c r="Q78" i="13" s="1"/>
  <c r="P77" i="13"/>
  <c r="N79" i="13" l="1"/>
  <c r="O79" i="13" s="1"/>
  <c r="Q79" i="13" s="1"/>
  <c r="P78" i="13"/>
  <c r="N80" i="13" l="1"/>
  <c r="O80" i="13" s="1"/>
  <c r="Q80" i="13" s="1"/>
  <c r="P79" i="13"/>
  <c r="N81" i="13" l="1"/>
  <c r="O81" i="13" s="1"/>
  <c r="Q81" i="13" s="1"/>
  <c r="P80" i="13"/>
  <c r="N82" i="13" l="1"/>
  <c r="O82" i="13" s="1"/>
  <c r="Q82" i="13" s="1"/>
  <c r="P81" i="13"/>
  <c r="N83" i="13" l="1"/>
  <c r="O83" i="13" s="1"/>
  <c r="Q83" i="13" s="1"/>
  <c r="P82" i="13"/>
  <c r="N84" i="13" l="1"/>
  <c r="O84" i="13" s="1"/>
  <c r="Q84" i="13" s="1"/>
  <c r="P83" i="13"/>
  <c r="N85" i="13" l="1"/>
  <c r="O85" i="13" s="1"/>
  <c r="Q85" i="13" s="1"/>
  <c r="P84" i="13"/>
  <c r="N86" i="13" l="1"/>
  <c r="O86" i="13" s="1"/>
  <c r="Q86" i="13" s="1"/>
  <c r="P85" i="13"/>
  <c r="N87" i="13" l="1"/>
  <c r="O87" i="13" s="1"/>
  <c r="Q87" i="13" s="1"/>
  <c r="P86" i="13"/>
  <c r="N88" i="13" l="1"/>
  <c r="O88" i="13" s="1"/>
  <c r="Q88" i="13" s="1"/>
  <c r="P87" i="13"/>
  <c r="N89" i="13" l="1"/>
  <c r="O89" i="13" s="1"/>
  <c r="Q89" i="13" s="1"/>
  <c r="P88" i="13"/>
  <c r="N90" i="13" l="1"/>
  <c r="O90" i="13" s="1"/>
  <c r="Q90" i="13" s="1"/>
  <c r="P89" i="13"/>
  <c r="N91" i="13" l="1"/>
  <c r="O91" i="13" s="1"/>
  <c r="Q91" i="13" s="1"/>
  <c r="P90" i="13"/>
  <c r="N92" i="13" l="1"/>
  <c r="O92" i="13" s="1"/>
  <c r="Q92" i="13" s="1"/>
  <c r="P91" i="13"/>
  <c r="N93" i="13" l="1"/>
  <c r="O93" i="13" s="1"/>
  <c r="Q93" i="13" s="1"/>
  <c r="P92" i="13"/>
  <c r="N94" i="13" l="1"/>
  <c r="O94" i="13" s="1"/>
  <c r="Q94" i="13" s="1"/>
  <c r="P93" i="13"/>
  <c r="N95" i="13" l="1"/>
  <c r="O95" i="13" s="1"/>
  <c r="Q95" i="13" s="1"/>
  <c r="P94" i="13"/>
  <c r="N96" i="13" l="1"/>
  <c r="O96" i="13" s="1"/>
  <c r="Q96" i="13" s="1"/>
  <c r="P95" i="13"/>
  <c r="N97" i="13" l="1"/>
  <c r="O97" i="13" s="1"/>
  <c r="Q97" i="13" s="1"/>
  <c r="P96" i="13"/>
  <c r="N98" i="13" l="1"/>
  <c r="O98" i="13" s="1"/>
  <c r="Q98" i="13" s="1"/>
  <c r="P97" i="13"/>
  <c r="N99" i="13" l="1"/>
  <c r="O99" i="13" s="1"/>
  <c r="Q99" i="13" s="1"/>
  <c r="P98" i="13"/>
  <c r="N100" i="13" l="1"/>
  <c r="O100" i="13" s="1"/>
  <c r="Q100" i="13" s="1"/>
  <c r="P99" i="13"/>
  <c r="N101" i="13" l="1"/>
  <c r="O101" i="13" s="1"/>
  <c r="Q101" i="13" s="1"/>
  <c r="P100" i="13"/>
  <c r="N102" i="13" l="1"/>
  <c r="O102" i="13" s="1"/>
  <c r="Q102" i="13" s="1"/>
  <c r="P101" i="13"/>
  <c r="N103" i="13" l="1"/>
  <c r="O103" i="13" s="1"/>
  <c r="Q103" i="13" s="1"/>
  <c r="P102" i="13"/>
  <c r="N104" i="13" l="1"/>
  <c r="O104" i="13" s="1"/>
  <c r="Q104" i="13" s="1"/>
  <c r="P103" i="13"/>
  <c r="N105" i="13" l="1"/>
  <c r="O105" i="13" s="1"/>
  <c r="Q105" i="13" s="1"/>
  <c r="P104" i="13"/>
  <c r="N106" i="13" l="1"/>
  <c r="O106" i="13" s="1"/>
  <c r="Q106" i="13" s="1"/>
  <c r="P105" i="13"/>
  <c r="N107" i="13" l="1"/>
  <c r="O107" i="13" s="1"/>
  <c r="Q107" i="13" s="1"/>
  <c r="P106" i="13"/>
  <c r="N108" i="13" l="1"/>
  <c r="O108" i="13" s="1"/>
  <c r="Q108" i="13" s="1"/>
  <c r="P107" i="13"/>
  <c r="N109" i="13" l="1"/>
  <c r="O109" i="13" s="1"/>
  <c r="Q109" i="13" s="1"/>
  <c r="P108" i="13"/>
  <c r="N110" i="13" l="1"/>
  <c r="O110" i="13" s="1"/>
  <c r="B11" i="14"/>
  <c r="P109" i="13"/>
  <c r="B14" i="14"/>
  <c r="B19" i="14"/>
  <c r="Q110" i="13" l="1"/>
  <c r="B8" i="13"/>
  <c r="B23" i="14"/>
  <c r="B20" i="14"/>
  <c r="B26" i="14"/>
  <c r="B17" i="14"/>
  <c r="B10" i="14"/>
  <c r="B24" i="14"/>
  <c r="B18" i="14"/>
  <c r="B13" i="14"/>
  <c r="B12" i="14"/>
  <c r="B15" i="14"/>
  <c r="B8" i="14"/>
  <c r="B25" i="14"/>
  <c r="B22" i="14"/>
  <c r="B16" i="14"/>
  <c r="B9" i="14"/>
  <c r="B21" i="14"/>
  <c r="P110" i="13"/>
  <c r="Q111" i="13" l="1"/>
</calcChain>
</file>

<file path=xl/sharedStrings.xml><?xml version="1.0" encoding="utf-8"?>
<sst xmlns="http://schemas.openxmlformats.org/spreadsheetml/2006/main" count="236" uniqueCount="126">
  <si>
    <t>opdrachtgever</t>
  </si>
  <si>
    <t>werkervaring (jaren)</t>
  </si>
  <si>
    <t>versies</t>
  </si>
  <si>
    <t>opleverdatum</t>
  </si>
  <si>
    <t>eerder gezet</t>
  </si>
  <si>
    <t>min</t>
  </si>
  <si>
    <t>max</t>
  </si>
  <si>
    <t>avg</t>
  </si>
  <si>
    <t>sd</t>
  </si>
  <si>
    <t>time</t>
  </si>
  <si>
    <t>groot</t>
  </si>
  <si>
    <t>N</t>
  </si>
  <si>
    <t>sum</t>
  </si>
  <si>
    <t>opdrachtnr</t>
  </si>
  <si>
    <t xml:space="preserve"> IST_tarief index </t>
  </si>
  <si>
    <t>IST_tariefcorr</t>
  </si>
  <si>
    <t>IST_vraagprijs</t>
  </si>
  <si>
    <t>daadwerkelijke prijs</t>
  </si>
  <si>
    <t>sec</t>
  </si>
  <si>
    <t>arrangement 1</t>
  </si>
  <si>
    <t>arrangement 2</t>
  </si>
  <si>
    <t>arrangement 3</t>
  </si>
  <si>
    <t>arrangement 4</t>
  </si>
  <si>
    <t>arrangement 5</t>
  </si>
  <si>
    <t>arrangement 6</t>
  </si>
  <si>
    <t>arrangement 7</t>
  </si>
  <si>
    <t>arrangement 8</t>
  </si>
  <si>
    <t>arrangement 9</t>
  </si>
  <si>
    <t>arrangement 10</t>
  </si>
  <si>
    <t>arrangement 11</t>
  </si>
  <si>
    <t>arrangement 12</t>
  </si>
  <si>
    <t>arrangement 13</t>
  </si>
  <si>
    <t>arrangement 16</t>
  </si>
  <si>
    <t>arrangement 17</t>
  </si>
  <si>
    <t>arrangement 18</t>
  </si>
  <si>
    <t>arrangement 19</t>
  </si>
  <si>
    <t>arrangement 20</t>
  </si>
  <si>
    <t>arrangement 21</t>
  </si>
  <si>
    <t>arrangement 22</t>
  </si>
  <si>
    <t>arrangement 23</t>
  </si>
  <si>
    <t>arrangement 24</t>
  </si>
  <si>
    <t>arrangement 25</t>
  </si>
  <si>
    <t>arrangement 26</t>
  </si>
  <si>
    <t>arrangement 27</t>
  </si>
  <si>
    <t>arrangement 28</t>
  </si>
  <si>
    <t>arrangement 34</t>
  </si>
  <si>
    <t>arrangement 35</t>
  </si>
  <si>
    <t>arrangement 36</t>
  </si>
  <si>
    <t>arrangement 37</t>
  </si>
  <si>
    <t>arrangement 38</t>
  </si>
  <si>
    <t>arrangement 39</t>
  </si>
  <si>
    <t>arrangement 40</t>
  </si>
  <si>
    <t>arrangement 41</t>
  </si>
  <si>
    <t>arrangement 42</t>
  </si>
  <si>
    <t>arrangement 43</t>
  </si>
  <si>
    <t>arrangement 44</t>
  </si>
  <si>
    <t>arrangement 45</t>
  </si>
  <si>
    <t>arrangement 46</t>
  </si>
  <si>
    <t>arrangement 52</t>
  </si>
  <si>
    <t>arrangement 53</t>
  </si>
  <si>
    <t>arrangement 54</t>
  </si>
  <si>
    <t>arrangement 55</t>
  </si>
  <si>
    <t>arrangement 56</t>
  </si>
  <si>
    <t>arrangement 57</t>
  </si>
  <si>
    <t>arrangement 58</t>
  </si>
  <si>
    <t>arrangement 59</t>
  </si>
  <si>
    <t>arrangement 60</t>
  </si>
  <si>
    <t>arrangement 61</t>
  </si>
  <si>
    <t>arrangement 62</t>
  </si>
  <si>
    <t>arrangement 63</t>
  </si>
  <si>
    <t>arrangement 64</t>
  </si>
  <si>
    <t>arrangement 68</t>
  </si>
  <si>
    <t>arrangement 69</t>
  </si>
  <si>
    <t>arrangement 70</t>
  </si>
  <si>
    <t>arrangement 71</t>
  </si>
  <si>
    <t>arrangement 72</t>
  </si>
  <si>
    <t>arrangement 73</t>
  </si>
  <si>
    <t>arrangement 74</t>
  </si>
  <si>
    <t>arrangement 75</t>
  </si>
  <si>
    <t>arrangement 76</t>
  </si>
  <si>
    <t>arrangement 77</t>
  </si>
  <si>
    <t>arrangement 78</t>
  </si>
  <si>
    <t>arrangement 79</t>
  </si>
  <si>
    <t>arrangement 80</t>
  </si>
  <si>
    <t>arrangement 86</t>
  </si>
  <si>
    <t>arrangement 87</t>
  </si>
  <si>
    <t>arrangement 88</t>
  </si>
  <si>
    <t>arrangement 89</t>
  </si>
  <si>
    <t>arrangement 90</t>
  </si>
  <si>
    <t>arrangement 91</t>
  </si>
  <si>
    <t>arrangement 92</t>
  </si>
  <si>
    <t>arrangement 93</t>
  </si>
  <si>
    <t>arrangement 94</t>
  </si>
  <si>
    <t>arrangement 95</t>
  </si>
  <si>
    <t>arrangement 96</t>
  </si>
  <si>
    <t>arrangement 97</t>
  </si>
  <si>
    <t>arrangement 98</t>
  </si>
  <si>
    <t>starttarief</t>
  </si>
  <si>
    <t>werkervaring</t>
  </si>
  <si>
    <t>curve log</t>
  </si>
  <si>
    <t>Ensemble Hond</t>
  </si>
  <si>
    <t>Het Poes Orkest</t>
  </si>
  <si>
    <t>Fanfare Kat</t>
  </si>
  <si>
    <t>De Leeuw Harmonie</t>
  </si>
  <si>
    <t>Ensemble Tor</t>
  </si>
  <si>
    <t>Het Kever Orkest</t>
  </si>
  <si>
    <t>Fanfare Krekel</t>
  </si>
  <si>
    <t>De Tijger Harmonie</t>
  </si>
  <si>
    <t>Ensemble Duif</t>
  </si>
  <si>
    <t>Het Merel Orkest</t>
  </si>
  <si>
    <t>Fanfare Okapi</t>
  </si>
  <si>
    <t>De Koala Harmonie</t>
  </si>
  <si>
    <t>Ensemble Krokodil</t>
  </si>
  <si>
    <t>Het Kangoeroe Orkest</t>
  </si>
  <si>
    <t>Fanfare Panda</t>
  </si>
  <si>
    <t>De Stokstaart Harmonie</t>
  </si>
  <si>
    <t>Ensemble Flamingo</t>
  </si>
  <si>
    <t>Het Struisvogel Orkest</t>
  </si>
  <si>
    <t>Fanfare Baardmannetje</t>
  </si>
  <si>
    <t>De Cavia Harmonie</t>
  </si>
  <si>
    <t>naam arrangement</t>
  </si>
  <si>
    <t>R2</t>
  </si>
  <si>
    <t>IST_SQ</t>
  </si>
  <si>
    <t>IST_afgerond</t>
  </si>
  <si>
    <t>tijd (minuten)</t>
  </si>
  <si>
    <t>eersteopdrachttoeslag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</si>
</sst>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[$€-2]\ * #,##0_-;\-[$€-2]\ * #,##0_-;_-[$€-2]\ * &quot;-&quot;??_-;_-@_-"/>
    <numFmt numFmtId="165" formatCode="0.0"/>
    <numFmt numFmtId="166" formatCode="_-[$€-2]\ * #,##0.00_-;\-[$€-2]\ * #,##0.00_-;_-[$€-2]\ * &quot;-&quot;??_-;_-@_-"/>
    <numFmt numFmtId="167" formatCode="d/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onsolas"/>
      <family val="3"/>
    </font>
    <font>
      <sz val="10"/>
      <color theme="1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Fill="1" applyBorder="1"/>
    <xf numFmtId="164" fontId="0" fillId="0" borderId="0" xfId="0" applyNumberFormat="1"/>
    <xf numFmtId="0" fontId="4" fillId="0" borderId="4" xfId="0" applyFont="1" applyFill="1" applyBorder="1"/>
    <xf numFmtId="0" fontId="0" fillId="0" borderId="0" xfId="0" applyFill="1"/>
    <xf numFmtId="0" fontId="3" fillId="0" borderId="0" xfId="0" applyFont="1" applyFill="1" applyAlignment="1"/>
    <xf numFmtId="167" fontId="0" fillId="0" borderId="0" xfId="0" applyNumberFormat="1" applyFill="1" applyBorder="1"/>
    <xf numFmtId="0" fontId="0" fillId="0" borderId="5" xfId="0" applyFill="1" applyBorder="1"/>
    <xf numFmtId="0" fontId="5" fillId="0" borderId="1" xfId="0" applyFont="1" applyFill="1" applyBorder="1" applyAlignment="1"/>
    <xf numFmtId="0" fontId="5" fillId="0" borderId="0" xfId="0" applyFont="1" applyFill="1" applyAlignment="1"/>
    <xf numFmtId="167" fontId="5" fillId="0" borderId="2" xfId="0" applyNumberFormat="1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0" xfId="0" applyFont="1" applyFill="1" applyBorder="1" applyAlignment="1"/>
    <xf numFmtId="0" fontId="6" fillId="0" borderId="4" xfId="0" applyFont="1" applyFill="1" applyBorder="1"/>
    <xf numFmtId="0" fontId="6" fillId="0" borderId="0" xfId="0" applyFont="1" applyFill="1"/>
    <xf numFmtId="167" fontId="6" fillId="0" borderId="0" xfId="0" applyNumberFormat="1" applyFont="1" applyFill="1" applyBorder="1"/>
    <xf numFmtId="0" fontId="6" fillId="0" borderId="0" xfId="0" applyFont="1" applyFill="1" applyBorder="1"/>
    <xf numFmtId="0" fontId="6" fillId="0" borderId="5" xfId="0" applyFont="1" applyFill="1" applyBorder="1"/>
    <xf numFmtId="0" fontId="0" fillId="0" borderId="0" xfId="0" applyFont="1"/>
    <xf numFmtId="0" fontId="5" fillId="3" borderId="0" xfId="0" applyFont="1" applyFill="1" applyAlignment="1"/>
    <xf numFmtId="0" fontId="5" fillId="3" borderId="2" xfId="0" applyFont="1" applyFill="1" applyBorder="1" applyAlignment="1"/>
    <xf numFmtId="0" fontId="5" fillId="3" borderId="3" xfId="0" applyFont="1" applyFill="1" applyBorder="1" applyAlignment="1"/>
    <xf numFmtId="0" fontId="5" fillId="3" borderId="0" xfId="0" applyFont="1" applyFill="1" applyBorder="1" applyAlignment="1"/>
    <xf numFmtId="0" fontId="6" fillId="3" borderId="0" xfId="0" applyFont="1" applyFill="1"/>
    <xf numFmtId="1" fontId="6" fillId="3" borderId="0" xfId="0" applyNumberFormat="1" applyFont="1" applyFill="1" applyBorder="1"/>
    <xf numFmtId="2" fontId="6" fillId="3" borderId="5" xfId="0" applyNumberFormat="1" applyFont="1" applyFill="1" applyBorder="1"/>
    <xf numFmtId="166" fontId="6" fillId="3" borderId="0" xfId="0" applyNumberFormat="1" applyFont="1" applyFill="1" applyBorder="1"/>
    <xf numFmtId="0" fontId="0" fillId="3" borderId="0" xfId="0" applyFill="1"/>
    <xf numFmtId="0" fontId="0" fillId="3" borderId="0" xfId="0" applyFill="1" applyBorder="1"/>
    <xf numFmtId="0" fontId="0" fillId="3" borderId="5" xfId="0" applyFill="1" applyBorder="1"/>
    <xf numFmtId="1" fontId="0" fillId="0" borderId="0" xfId="0" applyNumberFormat="1" applyFill="1"/>
    <xf numFmtId="0" fontId="5" fillId="0" borderId="0" xfId="0" applyFont="1" applyFill="1" applyBorder="1" applyAlignment="1">
      <alignment horizontal="right"/>
    </xf>
    <xf numFmtId="0" fontId="5" fillId="0" borderId="3" xfId="0" applyFont="1" applyFill="1" applyBorder="1" applyAlignment="1">
      <alignment horizontal="right"/>
    </xf>
    <xf numFmtId="164" fontId="0" fillId="2" borderId="0" xfId="0" applyNumberFormat="1" applyFill="1" applyBorder="1"/>
    <xf numFmtId="164" fontId="5" fillId="2" borderId="2" xfId="0" applyNumberFormat="1" applyFont="1" applyFill="1" applyBorder="1" applyAlignment="1"/>
    <xf numFmtId="164" fontId="6" fillId="2" borderId="0" xfId="0" applyNumberFormat="1" applyFont="1" applyFill="1" applyBorder="1"/>
    <xf numFmtId="1" fontId="0" fillId="0" borderId="9" xfId="0" applyNumberFormat="1" applyBorder="1"/>
    <xf numFmtId="1" fontId="2" fillId="0" borderId="0" xfId="0" applyNumberFormat="1" applyFont="1"/>
    <xf numFmtId="164" fontId="0" fillId="0" borderId="0" xfId="0" applyNumberFormat="1" applyFont="1"/>
    <xf numFmtId="0" fontId="0" fillId="0" borderId="2" xfId="0" applyFont="1" applyBorder="1"/>
    <xf numFmtId="164" fontId="0" fillId="0" borderId="2" xfId="0" applyNumberFormat="1" applyFont="1" applyBorder="1"/>
    <xf numFmtId="0" fontId="0" fillId="0" borderId="11" xfId="0" applyFont="1" applyBorder="1"/>
    <xf numFmtId="164" fontId="0" fillId="0" borderId="11" xfId="0" applyNumberFormat="1" applyFont="1" applyBorder="1"/>
    <xf numFmtId="0" fontId="0" fillId="4" borderId="7" xfId="0" applyFill="1" applyBorder="1"/>
    <xf numFmtId="0" fontId="5" fillId="4" borderId="6" xfId="0" applyFont="1" applyFill="1" applyBorder="1" applyAlignment="1"/>
    <xf numFmtId="164" fontId="6" fillId="4" borderId="7" xfId="0" applyNumberFormat="1" applyFont="1" applyFill="1" applyBorder="1"/>
    <xf numFmtId="9" fontId="0" fillId="0" borderId="0" xfId="1" applyFont="1" applyFill="1"/>
    <xf numFmtId="1" fontId="0" fillId="0" borderId="13" xfId="0" applyNumberFormat="1" applyBorder="1"/>
    <xf numFmtId="1" fontId="0" fillId="0" borderId="17" xfId="0" applyNumberFormat="1" applyBorder="1"/>
    <xf numFmtId="165" fontId="0" fillId="0" borderId="0" xfId="0" applyNumberFormat="1" applyBorder="1"/>
    <xf numFmtId="1" fontId="0" fillId="0" borderId="5" xfId="0" applyNumberFormat="1" applyBorder="1"/>
    <xf numFmtId="1" fontId="4" fillId="0" borderId="9" xfId="0" applyNumberFormat="1" applyFont="1" applyFill="1" applyBorder="1"/>
    <xf numFmtId="1" fontId="4" fillId="0" borderId="12" xfId="0" applyNumberFormat="1" applyFont="1" applyFill="1" applyBorder="1"/>
    <xf numFmtId="1" fontId="4" fillId="0" borderId="16" xfId="0" applyNumberFormat="1" applyFont="1" applyFill="1" applyBorder="1"/>
    <xf numFmtId="1" fontId="4" fillId="0" borderId="20" xfId="0" applyNumberFormat="1" applyFont="1" applyFill="1" applyBorder="1"/>
    <xf numFmtId="164" fontId="3" fillId="0" borderId="0" xfId="0" applyNumberFormat="1" applyFont="1" applyFill="1" applyBorder="1"/>
    <xf numFmtId="1" fontId="3" fillId="0" borderId="13" xfId="0" applyNumberFormat="1" applyFont="1" applyFill="1" applyBorder="1"/>
    <xf numFmtId="1" fontId="3" fillId="0" borderId="17" xfId="0" applyNumberFormat="1" applyFont="1" applyFill="1" applyBorder="1"/>
    <xf numFmtId="1" fontId="3" fillId="0" borderId="5" xfId="1" applyNumberFormat="1" applyFont="1" applyFill="1" applyBorder="1"/>
    <xf numFmtId="164" fontId="4" fillId="0" borderId="0" xfId="0" applyNumberFormat="1" applyFont="1" applyFill="1" applyBorder="1"/>
    <xf numFmtId="1" fontId="4" fillId="0" borderId="13" xfId="0" applyNumberFormat="1" applyFont="1" applyFill="1" applyBorder="1"/>
    <xf numFmtId="9" fontId="4" fillId="0" borderId="13" xfId="1" applyFont="1" applyFill="1" applyBorder="1"/>
    <xf numFmtId="9" fontId="4" fillId="0" borderId="17" xfId="1" applyFont="1" applyFill="1" applyBorder="1"/>
    <xf numFmtId="1" fontId="4" fillId="0" borderId="5" xfId="1" applyNumberFormat="1" applyFont="1" applyFill="1" applyBorder="1"/>
    <xf numFmtId="1" fontId="4" fillId="0" borderId="17" xfId="0" applyNumberFormat="1" applyFont="1" applyFill="1" applyBorder="1"/>
    <xf numFmtId="164" fontId="4" fillId="0" borderId="2" xfId="0" applyNumberFormat="1" applyFont="1" applyFill="1" applyBorder="1"/>
    <xf numFmtId="1" fontId="4" fillId="0" borderId="14" xfId="0" applyNumberFormat="1" applyFont="1" applyFill="1" applyBorder="1"/>
    <xf numFmtId="1" fontId="4" fillId="0" borderId="18" xfId="0" applyNumberFormat="1" applyFont="1" applyFill="1" applyBorder="1"/>
    <xf numFmtId="1" fontId="4" fillId="0" borderId="3" xfId="0" applyNumberFormat="1" applyFont="1" applyFill="1" applyBorder="1"/>
    <xf numFmtId="164" fontId="4" fillId="0" borderId="11" xfId="0" applyNumberFormat="1" applyFont="1" applyFill="1" applyBorder="1"/>
    <xf numFmtId="1" fontId="4" fillId="0" borderId="15" xfId="0" applyNumberFormat="1" applyFont="1" applyFill="1" applyBorder="1"/>
    <xf numFmtId="1" fontId="4" fillId="0" borderId="19" xfId="0" applyNumberFormat="1" applyFont="1" applyFill="1" applyBorder="1"/>
    <xf numFmtId="1" fontId="4" fillId="0" borderId="21" xfId="0" applyNumberFormat="1" applyFont="1" applyFill="1" applyBorder="1"/>
    <xf numFmtId="165" fontId="4" fillId="0" borderId="0" xfId="0" applyNumberFormat="1" applyFont="1" applyFill="1" applyBorder="1"/>
    <xf numFmtId="1" fontId="4" fillId="0" borderId="5" xfId="0" applyNumberFormat="1" applyFont="1" applyFill="1" applyBorder="1"/>
    <xf numFmtId="0" fontId="3" fillId="2" borderId="1" xfId="0" applyFont="1" applyFill="1" applyBorder="1" applyAlignment="1">
      <alignment wrapText="1"/>
    </xf>
    <xf numFmtId="164" fontId="5" fillId="4" borderId="2" xfId="0" applyNumberFormat="1" applyFont="1" applyFill="1" applyBorder="1" applyAlignment="1">
      <alignment horizontal="left" vertical="top" wrapText="1"/>
    </xf>
    <xf numFmtId="1" fontId="5" fillId="4" borderId="14" xfId="0" applyNumberFormat="1" applyFont="1" applyFill="1" applyBorder="1" applyAlignment="1">
      <alignment wrapText="1"/>
    </xf>
    <xf numFmtId="1" fontId="5" fillId="4" borderId="18" xfId="0" applyNumberFormat="1" applyFont="1" applyFill="1" applyBorder="1" applyAlignment="1">
      <alignment wrapText="1"/>
    </xf>
    <xf numFmtId="1" fontId="5" fillId="4" borderId="3" xfId="0" applyNumberFormat="1" applyFont="1" applyFill="1" applyBorder="1" applyAlignment="1">
      <alignment wrapText="1"/>
    </xf>
    <xf numFmtId="0" fontId="0" fillId="4" borderId="0" xfId="0" applyFill="1" applyAlignment="1">
      <alignment wrapText="1"/>
    </xf>
    <xf numFmtId="164" fontId="0" fillId="4" borderId="0" xfId="0" applyNumberFormat="1" applyFill="1" applyAlignment="1">
      <alignment wrapText="1"/>
    </xf>
    <xf numFmtId="1" fontId="3" fillId="2" borderId="8" xfId="0" applyNumberFormat="1" applyFont="1" applyFill="1" applyBorder="1"/>
    <xf numFmtId="1" fontId="3" fillId="2" borderId="4" xfId="0" applyNumberFormat="1" applyFont="1" applyFill="1" applyBorder="1"/>
    <xf numFmtId="0" fontId="3" fillId="2" borderId="4" xfId="0" applyFont="1" applyFill="1" applyBorder="1"/>
    <xf numFmtId="0" fontId="3" fillId="2" borderId="1" xfId="0" applyFont="1" applyFill="1" applyBorder="1"/>
    <xf numFmtId="0" fontId="3" fillId="2" borderId="10" xfId="0" applyFont="1" applyFill="1" applyBorder="1"/>
    <xf numFmtId="0" fontId="2" fillId="2" borderId="4" xfId="0" applyFont="1" applyFill="1" applyBorder="1"/>
    <xf numFmtId="164" fontId="0" fillId="0" borderId="0" xfId="0" applyNumberForma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colors>
    <mruColors>
      <color rgb="FFFFFF00"/>
      <color rgb="FF00FF00"/>
      <color rgb="FF0000FF"/>
      <color rgb="FFB2DE82"/>
      <color rgb="FF00007A"/>
      <color rgb="FF00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arrangementen!$D$10</c:f>
              <c:strCache>
                <c:ptCount val="1"/>
                <c:pt idx="0">
                  <c:v>daadwerkelijke prijs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5"/>
            <c:spPr>
              <a:solidFill>
                <a:schemeClr val="tx1"/>
              </a:solidFill>
            </c:spPr>
          </c:marker>
          <c:cat>
            <c:strRef>
              <c:f>arrangementen!$A$11:$A$110</c:f>
              <c:strCache>
                <c:ptCount val="100"/>
                <c:pt idx="0">
                  <c:v>arrangement 1</c:v>
                </c:pt>
                <c:pt idx="1">
                  <c:v>arrangement 2</c:v>
                </c:pt>
                <c:pt idx="2">
                  <c:v>arrangement 3</c:v>
                </c:pt>
                <c:pt idx="3">
                  <c:v>arrangement 4</c:v>
                </c:pt>
                <c:pt idx="4">
                  <c:v>arrangement 5</c:v>
                </c:pt>
                <c:pt idx="5">
                  <c:v>arrangement 6</c:v>
                </c:pt>
                <c:pt idx="6">
                  <c:v>arrangement 7</c:v>
                </c:pt>
                <c:pt idx="7">
                  <c:v>arrangement 8</c:v>
                </c:pt>
                <c:pt idx="8">
                  <c:v>arrangement 9</c:v>
                </c:pt>
                <c:pt idx="9">
                  <c:v>arrangement 10</c:v>
                </c:pt>
                <c:pt idx="10">
                  <c:v>arrangement 11</c:v>
                </c:pt>
                <c:pt idx="11">
                  <c:v>arrangement 12</c:v>
                </c:pt>
                <c:pt idx="12">
                  <c:v>arrangement 1</c:v>
                </c:pt>
                <c:pt idx="13">
                  <c:v>arrangement 12</c:v>
                </c:pt>
                <c:pt idx="14">
                  <c:v>arrangement 13</c:v>
                </c:pt>
                <c:pt idx="15">
                  <c:v>arrangement 16</c:v>
                </c:pt>
                <c:pt idx="16">
                  <c:v>arrangement 17</c:v>
                </c:pt>
                <c:pt idx="17">
                  <c:v>arrangement 18</c:v>
                </c:pt>
                <c:pt idx="18">
                  <c:v>arrangement 19</c:v>
                </c:pt>
                <c:pt idx="19">
                  <c:v>arrangement 20</c:v>
                </c:pt>
                <c:pt idx="20">
                  <c:v>arrangement 21</c:v>
                </c:pt>
                <c:pt idx="21">
                  <c:v>arrangement 22</c:v>
                </c:pt>
                <c:pt idx="22">
                  <c:v>arrangement 23</c:v>
                </c:pt>
                <c:pt idx="23">
                  <c:v>arrangement 24</c:v>
                </c:pt>
                <c:pt idx="24">
                  <c:v>arrangement 25</c:v>
                </c:pt>
                <c:pt idx="25">
                  <c:v>arrangement 26</c:v>
                </c:pt>
                <c:pt idx="26">
                  <c:v>arrangement 27</c:v>
                </c:pt>
                <c:pt idx="27">
                  <c:v>arrangement 28</c:v>
                </c:pt>
                <c:pt idx="28">
                  <c:v>arrangement 2</c:v>
                </c:pt>
                <c:pt idx="29">
                  <c:v>arrangement 3</c:v>
                </c:pt>
                <c:pt idx="30">
                  <c:v>arrangement 4</c:v>
                </c:pt>
                <c:pt idx="31">
                  <c:v>arrangement 5</c:v>
                </c:pt>
                <c:pt idx="32">
                  <c:v>arrangement 6</c:v>
                </c:pt>
                <c:pt idx="33">
                  <c:v>arrangement 34</c:v>
                </c:pt>
                <c:pt idx="34">
                  <c:v>arrangement 35</c:v>
                </c:pt>
                <c:pt idx="35">
                  <c:v>arrangement 36</c:v>
                </c:pt>
                <c:pt idx="36">
                  <c:v>arrangement 37</c:v>
                </c:pt>
                <c:pt idx="37">
                  <c:v>arrangement 38</c:v>
                </c:pt>
                <c:pt idx="38">
                  <c:v>arrangement 39</c:v>
                </c:pt>
                <c:pt idx="39">
                  <c:v>arrangement 40</c:v>
                </c:pt>
                <c:pt idx="40">
                  <c:v>arrangement 41</c:v>
                </c:pt>
                <c:pt idx="41">
                  <c:v>arrangement 42</c:v>
                </c:pt>
                <c:pt idx="42">
                  <c:v>arrangement 43</c:v>
                </c:pt>
                <c:pt idx="43">
                  <c:v>arrangement 44</c:v>
                </c:pt>
                <c:pt idx="44">
                  <c:v>arrangement 45</c:v>
                </c:pt>
                <c:pt idx="45">
                  <c:v>arrangement 46</c:v>
                </c:pt>
                <c:pt idx="46">
                  <c:v>arrangement 4</c:v>
                </c:pt>
                <c:pt idx="47">
                  <c:v>arrangement 5</c:v>
                </c:pt>
                <c:pt idx="48">
                  <c:v>arrangement 6</c:v>
                </c:pt>
                <c:pt idx="49">
                  <c:v>arrangement 7</c:v>
                </c:pt>
                <c:pt idx="50">
                  <c:v>arrangement 8</c:v>
                </c:pt>
                <c:pt idx="51">
                  <c:v>arrangement 52</c:v>
                </c:pt>
                <c:pt idx="52">
                  <c:v>arrangement 53</c:v>
                </c:pt>
                <c:pt idx="53">
                  <c:v>arrangement 54</c:v>
                </c:pt>
                <c:pt idx="54">
                  <c:v>arrangement 55</c:v>
                </c:pt>
                <c:pt idx="55">
                  <c:v>arrangement 56</c:v>
                </c:pt>
                <c:pt idx="56">
                  <c:v>arrangement 57</c:v>
                </c:pt>
                <c:pt idx="57">
                  <c:v>arrangement 58</c:v>
                </c:pt>
                <c:pt idx="58">
                  <c:v>arrangement 59</c:v>
                </c:pt>
                <c:pt idx="59">
                  <c:v>arrangement 60</c:v>
                </c:pt>
                <c:pt idx="60">
                  <c:v>arrangement 61</c:v>
                </c:pt>
                <c:pt idx="61">
                  <c:v>arrangement 62</c:v>
                </c:pt>
                <c:pt idx="62">
                  <c:v>arrangement 63</c:v>
                </c:pt>
                <c:pt idx="63">
                  <c:v>arrangement 64</c:v>
                </c:pt>
                <c:pt idx="64">
                  <c:v>arrangement 63</c:v>
                </c:pt>
                <c:pt idx="65">
                  <c:v>arrangement 64</c:v>
                </c:pt>
                <c:pt idx="66">
                  <c:v>arrangement 6</c:v>
                </c:pt>
                <c:pt idx="67">
                  <c:v>arrangement 68</c:v>
                </c:pt>
                <c:pt idx="68">
                  <c:v>arrangement 69</c:v>
                </c:pt>
                <c:pt idx="69">
                  <c:v>arrangement 70</c:v>
                </c:pt>
                <c:pt idx="70">
                  <c:v>arrangement 71</c:v>
                </c:pt>
                <c:pt idx="71">
                  <c:v>arrangement 72</c:v>
                </c:pt>
                <c:pt idx="72">
                  <c:v>arrangement 73</c:v>
                </c:pt>
                <c:pt idx="73">
                  <c:v>arrangement 74</c:v>
                </c:pt>
                <c:pt idx="74">
                  <c:v>arrangement 75</c:v>
                </c:pt>
                <c:pt idx="75">
                  <c:v>arrangement 76</c:v>
                </c:pt>
                <c:pt idx="76">
                  <c:v>arrangement 77</c:v>
                </c:pt>
                <c:pt idx="77">
                  <c:v>arrangement 78</c:v>
                </c:pt>
                <c:pt idx="78">
                  <c:v>arrangement 79</c:v>
                </c:pt>
                <c:pt idx="79">
                  <c:v>arrangement 80</c:v>
                </c:pt>
                <c:pt idx="80">
                  <c:v>arrangement 79</c:v>
                </c:pt>
                <c:pt idx="81">
                  <c:v>arrangement 8</c:v>
                </c:pt>
                <c:pt idx="82">
                  <c:v>arrangement 8</c:v>
                </c:pt>
                <c:pt idx="83">
                  <c:v>arrangement 9</c:v>
                </c:pt>
                <c:pt idx="84">
                  <c:v>arrangement 10</c:v>
                </c:pt>
                <c:pt idx="85">
                  <c:v>arrangement 86</c:v>
                </c:pt>
                <c:pt idx="86">
                  <c:v>arrangement 87</c:v>
                </c:pt>
                <c:pt idx="87">
                  <c:v>arrangement 88</c:v>
                </c:pt>
                <c:pt idx="88">
                  <c:v>arrangement 89</c:v>
                </c:pt>
                <c:pt idx="89">
                  <c:v>arrangement 90</c:v>
                </c:pt>
                <c:pt idx="90">
                  <c:v>arrangement 91</c:v>
                </c:pt>
                <c:pt idx="91">
                  <c:v>arrangement 92</c:v>
                </c:pt>
                <c:pt idx="92">
                  <c:v>arrangement 93</c:v>
                </c:pt>
                <c:pt idx="93">
                  <c:v>arrangement 94</c:v>
                </c:pt>
                <c:pt idx="94">
                  <c:v>arrangement 95</c:v>
                </c:pt>
                <c:pt idx="95">
                  <c:v>arrangement 96</c:v>
                </c:pt>
                <c:pt idx="96">
                  <c:v>arrangement 97</c:v>
                </c:pt>
                <c:pt idx="97">
                  <c:v>arrangement 98</c:v>
                </c:pt>
                <c:pt idx="98">
                  <c:v>arrangement 97</c:v>
                </c:pt>
                <c:pt idx="99">
                  <c:v>arrangement 98</c:v>
                </c:pt>
              </c:strCache>
            </c:strRef>
          </c:cat>
          <c:val>
            <c:numRef>
              <c:f>arrangementen!$D$11:$D$110</c:f>
              <c:numCache>
                <c:formatCode>_-[$€-2]\ * #,##0_-;\-[$€-2]\ * #,##0_-;_-[$€-2]\ * "-"??_-;_-@_-</c:formatCode>
                <c:ptCount val="100"/>
                <c:pt idx="0">
                  <c:v>125</c:v>
                </c:pt>
                <c:pt idx="1">
                  <c:v>600</c:v>
                </c:pt>
                <c:pt idx="2">
                  <c:v>500</c:v>
                </c:pt>
                <c:pt idx="3">
                  <c:v>125</c:v>
                </c:pt>
                <c:pt idx="4">
                  <c:v>300</c:v>
                </c:pt>
                <c:pt idx="5">
                  <c:v>150</c:v>
                </c:pt>
                <c:pt idx="6">
                  <c:v>275</c:v>
                </c:pt>
                <c:pt idx="7">
                  <c:v>450</c:v>
                </c:pt>
                <c:pt idx="8">
                  <c:v>250</c:v>
                </c:pt>
                <c:pt idx="9">
                  <c:v>250</c:v>
                </c:pt>
                <c:pt idx="10">
                  <c:v>475</c:v>
                </c:pt>
                <c:pt idx="11">
                  <c:v>125</c:v>
                </c:pt>
                <c:pt idx="12">
                  <c:v>150</c:v>
                </c:pt>
                <c:pt idx="13">
                  <c:v>300</c:v>
                </c:pt>
                <c:pt idx="14">
                  <c:v>150</c:v>
                </c:pt>
                <c:pt idx="15">
                  <c:v>650</c:v>
                </c:pt>
                <c:pt idx="16">
                  <c:v>175</c:v>
                </c:pt>
                <c:pt idx="17">
                  <c:v>100</c:v>
                </c:pt>
                <c:pt idx="18">
                  <c:v>175</c:v>
                </c:pt>
                <c:pt idx="19">
                  <c:v>200</c:v>
                </c:pt>
                <c:pt idx="20">
                  <c:v>325</c:v>
                </c:pt>
                <c:pt idx="21">
                  <c:v>525</c:v>
                </c:pt>
                <c:pt idx="22">
                  <c:v>200</c:v>
                </c:pt>
                <c:pt idx="23">
                  <c:v>350</c:v>
                </c:pt>
                <c:pt idx="24">
                  <c:v>525</c:v>
                </c:pt>
                <c:pt idx="25">
                  <c:v>125</c:v>
                </c:pt>
                <c:pt idx="26">
                  <c:v>550</c:v>
                </c:pt>
                <c:pt idx="27">
                  <c:v>200</c:v>
                </c:pt>
                <c:pt idx="28">
                  <c:v>75</c:v>
                </c:pt>
                <c:pt idx="29">
                  <c:v>50</c:v>
                </c:pt>
                <c:pt idx="30">
                  <c:v>225</c:v>
                </c:pt>
                <c:pt idx="31">
                  <c:v>325</c:v>
                </c:pt>
                <c:pt idx="32">
                  <c:v>275</c:v>
                </c:pt>
                <c:pt idx="33">
                  <c:v>400</c:v>
                </c:pt>
                <c:pt idx="34">
                  <c:v>225</c:v>
                </c:pt>
                <c:pt idx="35">
                  <c:v>550</c:v>
                </c:pt>
                <c:pt idx="36">
                  <c:v>225</c:v>
                </c:pt>
                <c:pt idx="37">
                  <c:v>300</c:v>
                </c:pt>
                <c:pt idx="38">
                  <c:v>100</c:v>
                </c:pt>
                <c:pt idx="39">
                  <c:v>275</c:v>
                </c:pt>
                <c:pt idx="40">
                  <c:v>350</c:v>
                </c:pt>
                <c:pt idx="41">
                  <c:v>475</c:v>
                </c:pt>
                <c:pt idx="42">
                  <c:v>125</c:v>
                </c:pt>
                <c:pt idx="43">
                  <c:v>275</c:v>
                </c:pt>
                <c:pt idx="44">
                  <c:v>525</c:v>
                </c:pt>
                <c:pt idx="45">
                  <c:v>275</c:v>
                </c:pt>
                <c:pt idx="46">
                  <c:v>100</c:v>
                </c:pt>
                <c:pt idx="47">
                  <c:v>100</c:v>
                </c:pt>
                <c:pt idx="48">
                  <c:v>200</c:v>
                </c:pt>
                <c:pt idx="49">
                  <c:v>200</c:v>
                </c:pt>
                <c:pt idx="50">
                  <c:v>175</c:v>
                </c:pt>
                <c:pt idx="51">
                  <c:v>525</c:v>
                </c:pt>
                <c:pt idx="52">
                  <c:v>650</c:v>
                </c:pt>
                <c:pt idx="53">
                  <c:v>325</c:v>
                </c:pt>
                <c:pt idx="54">
                  <c:v>300</c:v>
                </c:pt>
                <c:pt idx="55">
                  <c:v>250</c:v>
                </c:pt>
                <c:pt idx="56">
                  <c:v>275</c:v>
                </c:pt>
                <c:pt idx="57">
                  <c:v>250</c:v>
                </c:pt>
                <c:pt idx="58">
                  <c:v>225</c:v>
                </c:pt>
                <c:pt idx="59">
                  <c:v>575</c:v>
                </c:pt>
                <c:pt idx="60">
                  <c:v>125</c:v>
                </c:pt>
                <c:pt idx="61">
                  <c:v>250</c:v>
                </c:pt>
                <c:pt idx="62">
                  <c:v>575</c:v>
                </c:pt>
                <c:pt idx="63">
                  <c:v>375</c:v>
                </c:pt>
                <c:pt idx="64">
                  <c:v>300</c:v>
                </c:pt>
                <c:pt idx="65">
                  <c:v>50</c:v>
                </c:pt>
                <c:pt idx="66">
                  <c:v>50</c:v>
                </c:pt>
                <c:pt idx="67">
                  <c:v>300</c:v>
                </c:pt>
                <c:pt idx="68">
                  <c:v>575</c:v>
                </c:pt>
                <c:pt idx="69">
                  <c:v>200</c:v>
                </c:pt>
                <c:pt idx="70">
                  <c:v>325</c:v>
                </c:pt>
                <c:pt idx="71">
                  <c:v>400</c:v>
                </c:pt>
                <c:pt idx="72">
                  <c:v>600</c:v>
                </c:pt>
                <c:pt idx="73">
                  <c:v>550</c:v>
                </c:pt>
                <c:pt idx="74">
                  <c:v>275</c:v>
                </c:pt>
                <c:pt idx="75">
                  <c:v>350</c:v>
                </c:pt>
                <c:pt idx="76">
                  <c:v>300</c:v>
                </c:pt>
                <c:pt idx="77">
                  <c:v>475</c:v>
                </c:pt>
                <c:pt idx="78">
                  <c:v>375</c:v>
                </c:pt>
                <c:pt idx="79">
                  <c:v>175</c:v>
                </c:pt>
                <c:pt idx="80">
                  <c:v>300</c:v>
                </c:pt>
                <c:pt idx="81">
                  <c:v>175</c:v>
                </c:pt>
                <c:pt idx="82">
                  <c:v>200</c:v>
                </c:pt>
                <c:pt idx="83">
                  <c:v>250</c:v>
                </c:pt>
                <c:pt idx="84">
                  <c:v>50</c:v>
                </c:pt>
                <c:pt idx="85">
                  <c:v>325</c:v>
                </c:pt>
                <c:pt idx="86">
                  <c:v>575</c:v>
                </c:pt>
                <c:pt idx="87">
                  <c:v>250</c:v>
                </c:pt>
                <c:pt idx="88">
                  <c:v>225</c:v>
                </c:pt>
                <c:pt idx="89">
                  <c:v>525</c:v>
                </c:pt>
                <c:pt idx="90">
                  <c:v>400</c:v>
                </c:pt>
                <c:pt idx="91">
                  <c:v>650</c:v>
                </c:pt>
                <c:pt idx="92">
                  <c:v>575</c:v>
                </c:pt>
                <c:pt idx="93">
                  <c:v>150</c:v>
                </c:pt>
                <c:pt idx="94">
                  <c:v>325</c:v>
                </c:pt>
                <c:pt idx="95">
                  <c:v>300</c:v>
                </c:pt>
                <c:pt idx="96">
                  <c:v>250</c:v>
                </c:pt>
                <c:pt idx="97">
                  <c:v>175</c:v>
                </c:pt>
                <c:pt idx="98">
                  <c:v>275</c:v>
                </c:pt>
                <c:pt idx="99">
                  <c:v>300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arrangementen!$P$10</c:f>
              <c:strCache>
                <c:ptCount val="1"/>
                <c:pt idx="0">
                  <c:v>IST_afgerond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Pt>
            <c:idx val="11"/>
            <c:bubble3D val="0"/>
          </c:dPt>
          <c:cat>
            <c:strRef>
              <c:f>arrangementen!$A$11:$A$110</c:f>
              <c:strCache>
                <c:ptCount val="100"/>
                <c:pt idx="0">
                  <c:v>arrangement 1</c:v>
                </c:pt>
                <c:pt idx="1">
                  <c:v>arrangement 2</c:v>
                </c:pt>
                <c:pt idx="2">
                  <c:v>arrangement 3</c:v>
                </c:pt>
                <c:pt idx="3">
                  <c:v>arrangement 4</c:v>
                </c:pt>
                <c:pt idx="4">
                  <c:v>arrangement 5</c:v>
                </c:pt>
                <c:pt idx="5">
                  <c:v>arrangement 6</c:v>
                </c:pt>
                <c:pt idx="6">
                  <c:v>arrangement 7</c:v>
                </c:pt>
                <c:pt idx="7">
                  <c:v>arrangement 8</c:v>
                </c:pt>
                <c:pt idx="8">
                  <c:v>arrangement 9</c:v>
                </c:pt>
                <c:pt idx="9">
                  <c:v>arrangement 10</c:v>
                </c:pt>
                <c:pt idx="10">
                  <c:v>arrangement 11</c:v>
                </c:pt>
                <c:pt idx="11">
                  <c:v>arrangement 12</c:v>
                </c:pt>
                <c:pt idx="12">
                  <c:v>arrangement 1</c:v>
                </c:pt>
                <c:pt idx="13">
                  <c:v>arrangement 12</c:v>
                </c:pt>
                <c:pt idx="14">
                  <c:v>arrangement 13</c:v>
                </c:pt>
                <c:pt idx="15">
                  <c:v>arrangement 16</c:v>
                </c:pt>
                <c:pt idx="16">
                  <c:v>arrangement 17</c:v>
                </c:pt>
                <c:pt idx="17">
                  <c:v>arrangement 18</c:v>
                </c:pt>
                <c:pt idx="18">
                  <c:v>arrangement 19</c:v>
                </c:pt>
                <c:pt idx="19">
                  <c:v>arrangement 20</c:v>
                </c:pt>
                <c:pt idx="20">
                  <c:v>arrangement 21</c:v>
                </c:pt>
                <c:pt idx="21">
                  <c:v>arrangement 22</c:v>
                </c:pt>
                <c:pt idx="22">
                  <c:v>arrangement 23</c:v>
                </c:pt>
                <c:pt idx="23">
                  <c:v>arrangement 24</c:v>
                </c:pt>
                <c:pt idx="24">
                  <c:v>arrangement 25</c:v>
                </c:pt>
                <c:pt idx="25">
                  <c:v>arrangement 26</c:v>
                </c:pt>
                <c:pt idx="26">
                  <c:v>arrangement 27</c:v>
                </c:pt>
                <c:pt idx="27">
                  <c:v>arrangement 28</c:v>
                </c:pt>
                <c:pt idx="28">
                  <c:v>arrangement 2</c:v>
                </c:pt>
                <c:pt idx="29">
                  <c:v>arrangement 3</c:v>
                </c:pt>
                <c:pt idx="30">
                  <c:v>arrangement 4</c:v>
                </c:pt>
                <c:pt idx="31">
                  <c:v>arrangement 5</c:v>
                </c:pt>
                <c:pt idx="32">
                  <c:v>arrangement 6</c:v>
                </c:pt>
                <c:pt idx="33">
                  <c:v>arrangement 34</c:v>
                </c:pt>
                <c:pt idx="34">
                  <c:v>arrangement 35</c:v>
                </c:pt>
                <c:pt idx="35">
                  <c:v>arrangement 36</c:v>
                </c:pt>
                <c:pt idx="36">
                  <c:v>arrangement 37</c:v>
                </c:pt>
                <c:pt idx="37">
                  <c:v>arrangement 38</c:v>
                </c:pt>
                <c:pt idx="38">
                  <c:v>arrangement 39</c:v>
                </c:pt>
                <c:pt idx="39">
                  <c:v>arrangement 40</c:v>
                </c:pt>
                <c:pt idx="40">
                  <c:v>arrangement 41</c:v>
                </c:pt>
                <c:pt idx="41">
                  <c:v>arrangement 42</c:v>
                </c:pt>
                <c:pt idx="42">
                  <c:v>arrangement 43</c:v>
                </c:pt>
                <c:pt idx="43">
                  <c:v>arrangement 44</c:v>
                </c:pt>
                <c:pt idx="44">
                  <c:v>arrangement 45</c:v>
                </c:pt>
                <c:pt idx="45">
                  <c:v>arrangement 46</c:v>
                </c:pt>
                <c:pt idx="46">
                  <c:v>arrangement 4</c:v>
                </c:pt>
                <c:pt idx="47">
                  <c:v>arrangement 5</c:v>
                </c:pt>
                <c:pt idx="48">
                  <c:v>arrangement 6</c:v>
                </c:pt>
                <c:pt idx="49">
                  <c:v>arrangement 7</c:v>
                </c:pt>
                <c:pt idx="50">
                  <c:v>arrangement 8</c:v>
                </c:pt>
                <c:pt idx="51">
                  <c:v>arrangement 52</c:v>
                </c:pt>
                <c:pt idx="52">
                  <c:v>arrangement 53</c:v>
                </c:pt>
                <c:pt idx="53">
                  <c:v>arrangement 54</c:v>
                </c:pt>
                <c:pt idx="54">
                  <c:v>arrangement 55</c:v>
                </c:pt>
                <c:pt idx="55">
                  <c:v>arrangement 56</c:v>
                </c:pt>
                <c:pt idx="56">
                  <c:v>arrangement 57</c:v>
                </c:pt>
                <c:pt idx="57">
                  <c:v>arrangement 58</c:v>
                </c:pt>
                <c:pt idx="58">
                  <c:v>arrangement 59</c:v>
                </c:pt>
                <c:pt idx="59">
                  <c:v>arrangement 60</c:v>
                </c:pt>
                <c:pt idx="60">
                  <c:v>arrangement 61</c:v>
                </c:pt>
                <c:pt idx="61">
                  <c:v>arrangement 62</c:v>
                </c:pt>
                <c:pt idx="62">
                  <c:v>arrangement 63</c:v>
                </c:pt>
                <c:pt idx="63">
                  <c:v>arrangement 64</c:v>
                </c:pt>
                <c:pt idx="64">
                  <c:v>arrangement 63</c:v>
                </c:pt>
                <c:pt idx="65">
                  <c:v>arrangement 64</c:v>
                </c:pt>
                <c:pt idx="66">
                  <c:v>arrangement 6</c:v>
                </c:pt>
                <c:pt idx="67">
                  <c:v>arrangement 68</c:v>
                </c:pt>
                <c:pt idx="68">
                  <c:v>arrangement 69</c:v>
                </c:pt>
                <c:pt idx="69">
                  <c:v>arrangement 70</c:v>
                </c:pt>
                <c:pt idx="70">
                  <c:v>arrangement 71</c:v>
                </c:pt>
                <c:pt idx="71">
                  <c:v>arrangement 72</c:v>
                </c:pt>
                <c:pt idx="72">
                  <c:v>arrangement 73</c:v>
                </c:pt>
                <c:pt idx="73">
                  <c:v>arrangement 74</c:v>
                </c:pt>
                <c:pt idx="74">
                  <c:v>arrangement 75</c:v>
                </c:pt>
                <c:pt idx="75">
                  <c:v>arrangement 76</c:v>
                </c:pt>
                <c:pt idx="76">
                  <c:v>arrangement 77</c:v>
                </c:pt>
                <c:pt idx="77">
                  <c:v>arrangement 78</c:v>
                </c:pt>
                <c:pt idx="78">
                  <c:v>arrangement 79</c:v>
                </c:pt>
                <c:pt idx="79">
                  <c:v>arrangement 80</c:v>
                </c:pt>
                <c:pt idx="80">
                  <c:v>arrangement 79</c:v>
                </c:pt>
                <c:pt idx="81">
                  <c:v>arrangement 8</c:v>
                </c:pt>
                <c:pt idx="82">
                  <c:v>arrangement 8</c:v>
                </c:pt>
                <c:pt idx="83">
                  <c:v>arrangement 9</c:v>
                </c:pt>
                <c:pt idx="84">
                  <c:v>arrangement 10</c:v>
                </c:pt>
                <c:pt idx="85">
                  <c:v>arrangement 86</c:v>
                </c:pt>
                <c:pt idx="86">
                  <c:v>arrangement 87</c:v>
                </c:pt>
                <c:pt idx="87">
                  <c:v>arrangement 88</c:v>
                </c:pt>
                <c:pt idx="88">
                  <c:v>arrangement 89</c:v>
                </c:pt>
                <c:pt idx="89">
                  <c:v>arrangement 90</c:v>
                </c:pt>
                <c:pt idx="90">
                  <c:v>arrangement 91</c:v>
                </c:pt>
                <c:pt idx="91">
                  <c:v>arrangement 92</c:v>
                </c:pt>
                <c:pt idx="92">
                  <c:v>arrangement 93</c:v>
                </c:pt>
                <c:pt idx="93">
                  <c:v>arrangement 94</c:v>
                </c:pt>
                <c:pt idx="94">
                  <c:v>arrangement 95</c:v>
                </c:pt>
                <c:pt idx="95">
                  <c:v>arrangement 96</c:v>
                </c:pt>
                <c:pt idx="96">
                  <c:v>arrangement 97</c:v>
                </c:pt>
                <c:pt idx="97">
                  <c:v>arrangement 98</c:v>
                </c:pt>
                <c:pt idx="98">
                  <c:v>arrangement 97</c:v>
                </c:pt>
                <c:pt idx="99">
                  <c:v>arrangement 98</c:v>
                </c:pt>
              </c:strCache>
            </c:strRef>
          </c:cat>
          <c:val>
            <c:numRef>
              <c:f>arrangementen!$P$11:$P$110</c:f>
              <c:numCache>
                <c:formatCode>_-[$€-2]\ * #,##0_-;\-[$€-2]\ * #,##0_-;_-[$€-2]\ * "-"??_-;_-@_-</c:formatCode>
                <c:ptCount val="100"/>
                <c:pt idx="0">
                  <c:v>150</c:v>
                </c:pt>
                <c:pt idx="1">
                  <c:v>250</c:v>
                </c:pt>
                <c:pt idx="2">
                  <c:v>225</c:v>
                </c:pt>
                <c:pt idx="3">
                  <c:v>125</c:v>
                </c:pt>
                <c:pt idx="4">
                  <c:v>175</c:v>
                </c:pt>
                <c:pt idx="5">
                  <c:v>150</c:v>
                </c:pt>
                <c:pt idx="6">
                  <c:v>175</c:v>
                </c:pt>
                <c:pt idx="7">
                  <c:v>225</c:v>
                </c:pt>
                <c:pt idx="8">
                  <c:v>175</c:v>
                </c:pt>
                <c:pt idx="9">
                  <c:v>175</c:v>
                </c:pt>
                <c:pt idx="10">
                  <c:v>250</c:v>
                </c:pt>
                <c:pt idx="11">
                  <c:v>150</c:v>
                </c:pt>
                <c:pt idx="12">
                  <c:v>150</c:v>
                </c:pt>
                <c:pt idx="13">
                  <c:v>200</c:v>
                </c:pt>
                <c:pt idx="14">
                  <c:v>150</c:v>
                </c:pt>
                <c:pt idx="15">
                  <c:v>325</c:v>
                </c:pt>
                <c:pt idx="16">
                  <c:v>150</c:v>
                </c:pt>
                <c:pt idx="17">
                  <c:v>125</c:v>
                </c:pt>
                <c:pt idx="18">
                  <c:v>150</c:v>
                </c:pt>
                <c:pt idx="19">
                  <c:v>175</c:v>
                </c:pt>
                <c:pt idx="20">
                  <c:v>225</c:v>
                </c:pt>
                <c:pt idx="21">
                  <c:v>275</c:v>
                </c:pt>
                <c:pt idx="22">
                  <c:v>175</c:v>
                </c:pt>
                <c:pt idx="23">
                  <c:v>225</c:v>
                </c:pt>
                <c:pt idx="24">
                  <c:v>275</c:v>
                </c:pt>
                <c:pt idx="25">
                  <c:v>150</c:v>
                </c:pt>
                <c:pt idx="26">
                  <c:v>300</c:v>
                </c:pt>
                <c:pt idx="27">
                  <c:v>175</c:v>
                </c:pt>
                <c:pt idx="28">
                  <c:v>125</c:v>
                </c:pt>
                <c:pt idx="29">
                  <c:v>125</c:v>
                </c:pt>
                <c:pt idx="30">
                  <c:v>175</c:v>
                </c:pt>
                <c:pt idx="31">
                  <c:v>225</c:v>
                </c:pt>
                <c:pt idx="32">
                  <c:v>200</c:v>
                </c:pt>
                <c:pt idx="33">
                  <c:v>250</c:v>
                </c:pt>
                <c:pt idx="34">
                  <c:v>175</c:v>
                </c:pt>
                <c:pt idx="35">
                  <c:v>300</c:v>
                </c:pt>
                <c:pt idx="36">
                  <c:v>175</c:v>
                </c:pt>
                <c:pt idx="37">
                  <c:v>200</c:v>
                </c:pt>
                <c:pt idx="38">
                  <c:v>150</c:v>
                </c:pt>
                <c:pt idx="39">
                  <c:v>225</c:v>
                </c:pt>
                <c:pt idx="40">
                  <c:v>250</c:v>
                </c:pt>
                <c:pt idx="41">
                  <c:v>300</c:v>
                </c:pt>
                <c:pt idx="42">
                  <c:v>150</c:v>
                </c:pt>
                <c:pt idx="43">
                  <c:v>200</c:v>
                </c:pt>
                <c:pt idx="44">
                  <c:v>325</c:v>
                </c:pt>
                <c:pt idx="45">
                  <c:v>200</c:v>
                </c:pt>
                <c:pt idx="46">
                  <c:v>150</c:v>
                </c:pt>
                <c:pt idx="47">
                  <c:v>150</c:v>
                </c:pt>
                <c:pt idx="48">
                  <c:v>175</c:v>
                </c:pt>
                <c:pt idx="49">
                  <c:v>175</c:v>
                </c:pt>
                <c:pt idx="50">
                  <c:v>175</c:v>
                </c:pt>
                <c:pt idx="51">
                  <c:v>350</c:v>
                </c:pt>
                <c:pt idx="52">
                  <c:v>375</c:v>
                </c:pt>
                <c:pt idx="53">
                  <c:v>250</c:v>
                </c:pt>
                <c:pt idx="54">
                  <c:v>250</c:v>
                </c:pt>
                <c:pt idx="55">
                  <c:v>225</c:v>
                </c:pt>
                <c:pt idx="56">
                  <c:v>225</c:v>
                </c:pt>
                <c:pt idx="57">
                  <c:v>200</c:v>
                </c:pt>
                <c:pt idx="58">
                  <c:v>200</c:v>
                </c:pt>
                <c:pt idx="59">
                  <c:v>375</c:v>
                </c:pt>
                <c:pt idx="60">
                  <c:v>175</c:v>
                </c:pt>
                <c:pt idx="61">
                  <c:v>225</c:v>
                </c:pt>
                <c:pt idx="62">
                  <c:v>375</c:v>
                </c:pt>
                <c:pt idx="63">
                  <c:v>300</c:v>
                </c:pt>
                <c:pt idx="64">
                  <c:v>250</c:v>
                </c:pt>
                <c:pt idx="65">
                  <c:v>125</c:v>
                </c:pt>
                <c:pt idx="66">
                  <c:v>125</c:v>
                </c:pt>
                <c:pt idx="67">
                  <c:v>250</c:v>
                </c:pt>
                <c:pt idx="68">
                  <c:v>375</c:v>
                </c:pt>
                <c:pt idx="69">
                  <c:v>200</c:v>
                </c:pt>
                <c:pt idx="70">
                  <c:v>275</c:v>
                </c:pt>
                <c:pt idx="71">
                  <c:v>325</c:v>
                </c:pt>
                <c:pt idx="72">
                  <c:v>425</c:v>
                </c:pt>
                <c:pt idx="73">
                  <c:v>400</c:v>
                </c:pt>
                <c:pt idx="74">
                  <c:v>250</c:v>
                </c:pt>
                <c:pt idx="75">
                  <c:v>300</c:v>
                </c:pt>
                <c:pt idx="76">
                  <c:v>250</c:v>
                </c:pt>
                <c:pt idx="77">
                  <c:v>350</c:v>
                </c:pt>
                <c:pt idx="78">
                  <c:v>300</c:v>
                </c:pt>
                <c:pt idx="79">
                  <c:v>200</c:v>
                </c:pt>
                <c:pt idx="80">
                  <c:v>275</c:v>
                </c:pt>
                <c:pt idx="81">
                  <c:v>200</c:v>
                </c:pt>
                <c:pt idx="82">
                  <c:v>225</c:v>
                </c:pt>
                <c:pt idx="83">
                  <c:v>250</c:v>
                </c:pt>
                <c:pt idx="84">
                  <c:v>125</c:v>
                </c:pt>
                <c:pt idx="85">
                  <c:v>300</c:v>
                </c:pt>
                <c:pt idx="86">
                  <c:v>425</c:v>
                </c:pt>
                <c:pt idx="87">
                  <c:v>250</c:v>
                </c:pt>
                <c:pt idx="88">
                  <c:v>250</c:v>
                </c:pt>
                <c:pt idx="89">
                  <c:v>400</c:v>
                </c:pt>
                <c:pt idx="90">
                  <c:v>325</c:v>
                </c:pt>
                <c:pt idx="91">
                  <c:v>525</c:v>
                </c:pt>
                <c:pt idx="92">
                  <c:v>450</c:v>
                </c:pt>
                <c:pt idx="93">
                  <c:v>200</c:v>
                </c:pt>
                <c:pt idx="94">
                  <c:v>300</c:v>
                </c:pt>
                <c:pt idx="95">
                  <c:v>300</c:v>
                </c:pt>
                <c:pt idx="96">
                  <c:v>250</c:v>
                </c:pt>
                <c:pt idx="97">
                  <c:v>225</c:v>
                </c:pt>
                <c:pt idx="98">
                  <c:v>275</c:v>
                </c:pt>
                <c:pt idx="99">
                  <c:v>275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247280000"/>
        <c:axId val="247281536"/>
      </c:lineChart>
      <c:catAx>
        <c:axId val="247280000"/>
        <c:scaling>
          <c:orientation val="minMax"/>
        </c:scaling>
        <c:delete val="0"/>
        <c:axPos val="b"/>
        <c:majorTickMark val="out"/>
        <c:minorTickMark val="none"/>
        <c:tickLblPos val="nextTo"/>
        <c:crossAx val="247281536"/>
        <c:crosses val="autoZero"/>
        <c:auto val="1"/>
        <c:lblAlgn val="ctr"/>
        <c:lblOffset val="100"/>
        <c:noMultiLvlLbl val="0"/>
      </c:catAx>
      <c:valAx>
        <c:axId val="247281536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out"/>
        <c:minorTickMark val="none"/>
        <c:tickLblPos val="nextTo"/>
        <c:crossAx val="24728000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84042</xdr:colOff>
      <xdr:row>10</xdr:row>
      <xdr:rowOff>56037</xdr:rowOff>
    </xdr:from>
    <xdr:to>
      <xdr:col>47</xdr:col>
      <xdr:colOff>156882</xdr:colOff>
      <xdr:row>32</xdr:row>
      <xdr:rowOff>100853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showGridLines="0" tabSelected="1" zoomScale="85" zoomScaleNormal="85" workbookViewId="0">
      <pane xSplit="1" ySplit="10" topLeftCell="B11" activePane="bottomRight" state="frozen"/>
      <selection pane="topRight" activeCell="C1" sqref="C1"/>
      <selection pane="bottomLeft" activeCell="A2" sqref="A2"/>
      <selection pane="bottomRight" activeCell="B11" sqref="B11"/>
    </sheetView>
  </sheetViews>
  <sheetFormatPr defaultRowHeight="15" x14ac:dyDescent="0.25"/>
  <cols>
    <col min="1" max="1" width="22.85546875" style="3" bestFit="1" customWidth="1"/>
    <col min="2" max="2" width="18.5703125" style="4" customWidth="1"/>
    <col min="3" max="3" width="9" style="6" bestFit="1" customWidth="1"/>
    <col min="4" max="4" width="15" style="34" customWidth="1"/>
    <col min="5" max="6" width="6.28515625" style="1" bestFit="1" customWidth="1"/>
    <col min="7" max="7" width="8" style="1" bestFit="1" customWidth="1"/>
    <col min="8" max="8" width="11" style="1" customWidth="1"/>
    <col min="9" max="9" width="5.42578125" style="7" bestFit="1" customWidth="1"/>
    <col min="10" max="10" width="13.28515625" style="28" bestFit="1" customWidth="1"/>
    <col min="11" max="11" width="17.42578125" style="29" bestFit="1" customWidth="1"/>
    <col min="12" max="12" width="8.140625" style="30" customWidth="1"/>
    <col min="13" max="15" width="11" style="29" customWidth="1"/>
    <col min="16" max="16" width="16.140625" style="44" bestFit="1" customWidth="1"/>
    <col min="17" max="17" width="9.5703125" style="4" bestFit="1" customWidth="1"/>
    <col min="18" max="16384" width="9.140625" style="4"/>
  </cols>
  <sheetData>
    <row r="1" spans="1:17" x14ac:dyDescent="0.25">
      <c r="A1" s="32" t="s">
        <v>2</v>
      </c>
      <c r="B1" s="4">
        <v>1.05</v>
      </c>
    </row>
    <row r="2" spans="1:17" ht="15.75" thickBot="1" x14ac:dyDescent="0.3">
      <c r="A2" s="32" t="s">
        <v>4</v>
      </c>
      <c r="B2" s="4">
        <v>1</v>
      </c>
    </row>
    <row r="3" spans="1:17" x14ac:dyDescent="0.25">
      <c r="A3" s="33" t="s">
        <v>10</v>
      </c>
      <c r="B3" s="4">
        <v>8</v>
      </c>
    </row>
    <row r="4" spans="1:17" x14ac:dyDescent="0.25">
      <c r="A4" s="32" t="s">
        <v>98</v>
      </c>
      <c r="B4" s="1">
        <v>4</v>
      </c>
    </row>
    <row r="5" spans="1:17" x14ac:dyDescent="0.25">
      <c r="A5" s="32" t="s">
        <v>97</v>
      </c>
      <c r="B5" s="89">
        <v>24</v>
      </c>
    </row>
    <row r="6" spans="1:17" x14ac:dyDescent="0.25">
      <c r="A6" s="32" t="s">
        <v>125</v>
      </c>
      <c r="B6" s="89">
        <v>100</v>
      </c>
    </row>
    <row r="7" spans="1:17" x14ac:dyDescent="0.25">
      <c r="A7" s="32" t="s">
        <v>99</v>
      </c>
      <c r="B7" s="1">
        <v>1</v>
      </c>
    </row>
    <row r="8" spans="1:17" x14ac:dyDescent="0.25">
      <c r="A8" s="32" t="s">
        <v>121</v>
      </c>
      <c r="B8" s="47">
        <f>RSQ(O11:O110,D11:D110)</f>
        <v>0.77955040099984574</v>
      </c>
    </row>
    <row r="9" spans="1:17" ht="15.75" thickBot="1" x14ac:dyDescent="0.3"/>
    <row r="10" spans="1:17" s="5" customFormat="1" ht="12.75" x14ac:dyDescent="0.2">
      <c r="A10" s="8" t="s">
        <v>120</v>
      </c>
      <c r="B10" s="9" t="s">
        <v>0</v>
      </c>
      <c r="C10" s="10" t="s">
        <v>3</v>
      </c>
      <c r="D10" s="35" t="s">
        <v>17</v>
      </c>
      <c r="E10" s="11" t="s">
        <v>5</v>
      </c>
      <c r="F10" s="11" t="s">
        <v>18</v>
      </c>
      <c r="G10" s="13" t="s">
        <v>2</v>
      </c>
      <c r="H10" s="13" t="s">
        <v>4</v>
      </c>
      <c r="I10" s="12" t="s">
        <v>10</v>
      </c>
      <c r="J10" s="20" t="s">
        <v>13</v>
      </c>
      <c r="K10" s="21" t="s">
        <v>1</v>
      </c>
      <c r="L10" s="22" t="s">
        <v>9</v>
      </c>
      <c r="M10" s="23" t="s">
        <v>14</v>
      </c>
      <c r="N10" s="23" t="s">
        <v>15</v>
      </c>
      <c r="O10" s="23" t="s">
        <v>16</v>
      </c>
      <c r="P10" s="45" t="s">
        <v>123</v>
      </c>
      <c r="Q10" s="5" t="s">
        <v>122</v>
      </c>
    </row>
    <row r="11" spans="1:17" x14ac:dyDescent="0.25">
      <c r="A11" s="14" t="s">
        <v>19</v>
      </c>
      <c r="B11" s="15" t="s">
        <v>100</v>
      </c>
      <c r="C11" s="16">
        <v>36526</v>
      </c>
      <c r="D11" s="36">
        <v>125</v>
      </c>
      <c r="E11" s="17">
        <v>1</v>
      </c>
      <c r="F11" s="17">
        <v>5</v>
      </c>
      <c r="G11" s="17">
        <v>2</v>
      </c>
      <c r="H11" s="17">
        <v>0</v>
      </c>
      <c r="I11" s="18">
        <v>1</v>
      </c>
      <c r="J11" s="24">
        <f>IF(COUNTBLANK(B11)=1,"",COUNTIF(B$10:B10,B11))</f>
        <v>0</v>
      </c>
      <c r="K11" s="25">
        <f>IF(ROUND(DAYS360(C$11,C11,TRUE)/365,0)&lt;0,"",ROUND(DAYS360(C$11,C11,TRUE)/365,0))</f>
        <v>0</v>
      </c>
      <c r="L11" s="26">
        <f t="shared" ref="L11:L42" si="0">IF(E11+(F11/60)=0,"",E11+(F11/60))</f>
        <v>1.0833333333333333</v>
      </c>
      <c r="M11" s="27">
        <f t="shared" ref="M11:M42" si="1">IFERROR($B$5+($B$4*K11)+($B$3*I11),"")</f>
        <v>32</v>
      </c>
      <c r="N11" s="27">
        <f t="shared" ref="N11:N42" si="2">IFERROR(M11*($B$1^G11)/($B$2+H11),"")</f>
        <v>35.28</v>
      </c>
      <c r="O11" s="27">
        <f t="shared" ref="O11:O42" si="3">IFERROR($B$6+(N11*L11)+($B$7*LOG(1+J11,(1/3))),"")</f>
        <v>138.22</v>
      </c>
      <c r="P11" s="46">
        <f>IFERROR(ROUND(O11/25,0)*25,"")</f>
        <v>150</v>
      </c>
      <c r="Q11" s="31">
        <f t="shared" ref="Q11:Q42" si="4">(D11-O11)^2</f>
        <v>174.76839999999996</v>
      </c>
    </row>
    <row r="12" spans="1:17" x14ac:dyDescent="0.25">
      <c r="A12" s="14" t="s">
        <v>20</v>
      </c>
      <c r="B12" s="15" t="s">
        <v>101</v>
      </c>
      <c r="C12" s="16">
        <v>36541</v>
      </c>
      <c r="D12" s="36">
        <v>600</v>
      </c>
      <c r="E12" s="17">
        <v>5</v>
      </c>
      <c r="F12" s="17">
        <v>10</v>
      </c>
      <c r="G12" s="17">
        <v>4</v>
      </c>
      <c r="H12" s="17">
        <v>0</v>
      </c>
      <c r="I12" s="18">
        <v>0</v>
      </c>
      <c r="J12" s="24">
        <f>IF(COUNTBLANK(B12)=1,"",COUNTIF(B$10:B11,B12))</f>
        <v>0</v>
      </c>
      <c r="K12" s="25">
        <f t="shared" ref="K12:K75" si="5">IF(ROUND(DAYS360(C$11,C12,TRUE)/365,0)&lt;0,"",ROUND(DAYS360(C$11,C12,TRUE)/365,0))</f>
        <v>0</v>
      </c>
      <c r="L12" s="26">
        <f t="shared" si="0"/>
        <v>5.166666666666667</v>
      </c>
      <c r="M12" s="27">
        <f t="shared" si="1"/>
        <v>24</v>
      </c>
      <c r="N12" s="27">
        <f t="shared" si="2"/>
        <v>29.172150000000002</v>
      </c>
      <c r="O12" s="27">
        <f t="shared" si="3"/>
        <v>250.72277500000001</v>
      </c>
      <c r="P12" s="46">
        <f t="shared" ref="P12:P75" si="6">IFERROR(ROUND(O12/25,0)*25,"")</f>
        <v>250</v>
      </c>
      <c r="Q12" s="31">
        <f t="shared" si="4"/>
        <v>121994.57990370062</v>
      </c>
    </row>
    <row r="13" spans="1:17" x14ac:dyDescent="0.25">
      <c r="A13" s="14" t="s">
        <v>21</v>
      </c>
      <c r="B13" s="15" t="s">
        <v>102</v>
      </c>
      <c r="C13" s="16">
        <v>36570</v>
      </c>
      <c r="D13" s="36">
        <v>500</v>
      </c>
      <c r="E13" s="17">
        <v>5</v>
      </c>
      <c r="F13" s="17">
        <v>3</v>
      </c>
      <c r="G13" s="17">
        <v>1</v>
      </c>
      <c r="H13" s="17">
        <v>0</v>
      </c>
      <c r="I13" s="18">
        <v>0</v>
      </c>
      <c r="J13" s="24">
        <f>IF(COUNTBLANK(B13)=1,"",COUNTIF(B$10:B12,B13))</f>
        <v>0</v>
      </c>
      <c r="K13" s="25">
        <f t="shared" si="5"/>
        <v>0</v>
      </c>
      <c r="L13" s="26">
        <f t="shared" si="0"/>
        <v>5.05</v>
      </c>
      <c r="M13" s="27">
        <f t="shared" si="1"/>
        <v>24</v>
      </c>
      <c r="N13" s="27">
        <f t="shared" si="2"/>
        <v>25.200000000000003</v>
      </c>
      <c r="O13" s="27">
        <f t="shared" si="3"/>
        <v>227.26</v>
      </c>
      <c r="P13" s="46">
        <f t="shared" si="6"/>
        <v>225</v>
      </c>
      <c r="Q13" s="31">
        <f t="shared" si="4"/>
        <v>74387.107600000003</v>
      </c>
    </row>
    <row r="14" spans="1:17" x14ac:dyDescent="0.25">
      <c r="A14" s="14" t="s">
        <v>22</v>
      </c>
      <c r="B14" s="15" t="s">
        <v>102</v>
      </c>
      <c r="C14" s="16">
        <v>36629</v>
      </c>
      <c r="D14" s="36">
        <v>125</v>
      </c>
      <c r="E14" s="17">
        <v>1</v>
      </c>
      <c r="F14" s="17">
        <v>18</v>
      </c>
      <c r="G14" s="17">
        <v>1</v>
      </c>
      <c r="H14" s="17">
        <v>0</v>
      </c>
      <c r="I14" s="18">
        <v>0</v>
      </c>
      <c r="J14" s="24">
        <f>IF(COUNTBLANK(B14)=1,"",COUNTIF(B$10:B13,B14))</f>
        <v>1</v>
      </c>
      <c r="K14" s="25">
        <f t="shared" si="5"/>
        <v>0</v>
      </c>
      <c r="L14" s="26">
        <f t="shared" si="0"/>
        <v>1.3</v>
      </c>
      <c r="M14" s="27">
        <f t="shared" si="1"/>
        <v>24</v>
      </c>
      <c r="N14" s="27">
        <f t="shared" si="2"/>
        <v>25.200000000000003</v>
      </c>
      <c r="O14" s="27">
        <f t="shared" si="3"/>
        <v>132.12907024642854</v>
      </c>
      <c r="P14" s="46">
        <f t="shared" si="6"/>
        <v>125</v>
      </c>
      <c r="Q14" s="31">
        <f t="shared" si="4"/>
        <v>50.82364257851269</v>
      </c>
    </row>
    <row r="15" spans="1:17" x14ac:dyDescent="0.25">
      <c r="A15" s="14" t="s">
        <v>23</v>
      </c>
      <c r="B15" s="15" t="s">
        <v>103</v>
      </c>
      <c r="C15" s="16">
        <v>36666</v>
      </c>
      <c r="D15" s="36">
        <v>300</v>
      </c>
      <c r="E15" s="17">
        <v>2</v>
      </c>
      <c r="F15" s="17">
        <v>53</v>
      </c>
      <c r="G15" s="17">
        <v>1</v>
      </c>
      <c r="H15" s="17">
        <v>0</v>
      </c>
      <c r="I15" s="18">
        <v>0</v>
      </c>
      <c r="J15" s="24">
        <f>IF(COUNTBLANK(B15)=1,"",COUNTIF(B$10:B14,B15))</f>
        <v>0</v>
      </c>
      <c r="K15" s="25">
        <f t="shared" si="5"/>
        <v>0</v>
      </c>
      <c r="L15" s="26">
        <f t="shared" si="0"/>
        <v>2.8833333333333333</v>
      </c>
      <c r="M15" s="27">
        <f t="shared" si="1"/>
        <v>24</v>
      </c>
      <c r="N15" s="27">
        <f t="shared" si="2"/>
        <v>25.200000000000003</v>
      </c>
      <c r="O15" s="27">
        <f t="shared" si="3"/>
        <v>172.66000000000003</v>
      </c>
      <c r="P15" s="46">
        <f t="shared" si="6"/>
        <v>175</v>
      </c>
      <c r="Q15" s="31">
        <f t="shared" si="4"/>
        <v>16215.475599999994</v>
      </c>
    </row>
    <row r="16" spans="1:17" x14ac:dyDescent="0.25">
      <c r="A16" s="14" t="s">
        <v>24</v>
      </c>
      <c r="B16" s="15" t="s">
        <v>104</v>
      </c>
      <c r="C16" s="16">
        <v>36697</v>
      </c>
      <c r="D16" s="36">
        <v>150</v>
      </c>
      <c r="E16" s="17">
        <v>1</v>
      </c>
      <c r="F16" s="17">
        <v>30</v>
      </c>
      <c r="G16" s="17">
        <v>2</v>
      </c>
      <c r="H16" s="17">
        <v>0</v>
      </c>
      <c r="I16" s="18">
        <v>0</v>
      </c>
      <c r="J16" s="24">
        <f>IF(COUNTBLANK(B16)=1,"",COUNTIF(B$10:B15,B16))</f>
        <v>0</v>
      </c>
      <c r="K16" s="25">
        <f t="shared" si="5"/>
        <v>0</v>
      </c>
      <c r="L16" s="26">
        <f t="shared" si="0"/>
        <v>1.5</v>
      </c>
      <c r="M16" s="27">
        <f t="shared" si="1"/>
        <v>24</v>
      </c>
      <c r="N16" s="27">
        <f t="shared" si="2"/>
        <v>26.46</v>
      </c>
      <c r="O16" s="27">
        <f t="shared" si="3"/>
        <v>139.69</v>
      </c>
      <c r="P16" s="46">
        <f t="shared" si="6"/>
        <v>150</v>
      </c>
      <c r="Q16" s="31">
        <f t="shared" si="4"/>
        <v>106.29610000000005</v>
      </c>
    </row>
    <row r="17" spans="1:17" x14ac:dyDescent="0.25">
      <c r="A17" s="14" t="s">
        <v>25</v>
      </c>
      <c r="B17" s="15" t="s">
        <v>105</v>
      </c>
      <c r="C17" s="16">
        <v>36728</v>
      </c>
      <c r="D17" s="36">
        <v>275</v>
      </c>
      <c r="E17" s="17">
        <v>2</v>
      </c>
      <c r="F17" s="17">
        <v>52</v>
      </c>
      <c r="G17" s="17">
        <v>1</v>
      </c>
      <c r="H17" s="17">
        <v>0</v>
      </c>
      <c r="I17" s="18">
        <v>0</v>
      </c>
      <c r="J17" s="24">
        <f>IF(COUNTBLANK(B17)=1,"",COUNTIF(B$10:B16,B17))</f>
        <v>0</v>
      </c>
      <c r="K17" s="25">
        <f t="shared" si="5"/>
        <v>1</v>
      </c>
      <c r="L17" s="26">
        <f t="shared" si="0"/>
        <v>2.8666666666666667</v>
      </c>
      <c r="M17" s="27">
        <f t="shared" si="1"/>
        <v>28</v>
      </c>
      <c r="N17" s="27">
        <f t="shared" si="2"/>
        <v>29.400000000000002</v>
      </c>
      <c r="O17" s="27">
        <f t="shared" si="3"/>
        <v>184.28</v>
      </c>
      <c r="P17" s="46">
        <f t="shared" si="6"/>
        <v>175</v>
      </c>
      <c r="Q17" s="31">
        <f t="shared" si="4"/>
        <v>8230.1183999999994</v>
      </c>
    </row>
    <row r="18" spans="1:17" x14ac:dyDescent="0.25">
      <c r="A18" s="14" t="s">
        <v>26</v>
      </c>
      <c r="B18" s="15" t="s">
        <v>102</v>
      </c>
      <c r="C18" s="16">
        <v>36775</v>
      </c>
      <c r="D18" s="36">
        <v>450</v>
      </c>
      <c r="E18" s="17">
        <v>4</v>
      </c>
      <c r="F18" s="17">
        <v>33</v>
      </c>
      <c r="G18" s="17">
        <v>1</v>
      </c>
      <c r="H18" s="17">
        <v>0</v>
      </c>
      <c r="I18" s="18">
        <v>0</v>
      </c>
      <c r="J18" s="24">
        <f>IF(COUNTBLANK(B18)=1,"",COUNTIF(B$10:B17,B18))</f>
        <v>2</v>
      </c>
      <c r="K18" s="25">
        <f t="shared" si="5"/>
        <v>1</v>
      </c>
      <c r="L18" s="26">
        <f t="shared" si="0"/>
        <v>4.55</v>
      </c>
      <c r="M18" s="27">
        <f t="shared" si="1"/>
        <v>28</v>
      </c>
      <c r="N18" s="27">
        <f t="shared" si="2"/>
        <v>29.400000000000002</v>
      </c>
      <c r="O18" s="27">
        <f t="shared" si="3"/>
        <v>232.77</v>
      </c>
      <c r="P18" s="46">
        <f t="shared" si="6"/>
        <v>225</v>
      </c>
      <c r="Q18" s="31">
        <f t="shared" si="4"/>
        <v>47188.872899999995</v>
      </c>
    </row>
    <row r="19" spans="1:17" x14ac:dyDescent="0.25">
      <c r="A19" s="14" t="s">
        <v>27</v>
      </c>
      <c r="B19" s="15" t="s">
        <v>106</v>
      </c>
      <c r="C19" s="16">
        <v>36800</v>
      </c>
      <c r="D19" s="36">
        <v>250</v>
      </c>
      <c r="E19" s="17">
        <v>2</v>
      </c>
      <c r="F19" s="17">
        <v>35</v>
      </c>
      <c r="G19" s="17">
        <v>1</v>
      </c>
      <c r="H19" s="17">
        <v>0</v>
      </c>
      <c r="I19" s="18">
        <v>0</v>
      </c>
      <c r="J19" s="24">
        <f>IF(COUNTBLANK(B19)=1,"",COUNTIF(B$10:B18,B19))</f>
        <v>0</v>
      </c>
      <c r="K19" s="25">
        <f t="shared" si="5"/>
        <v>1</v>
      </c>
      <c r="L19" s="26">
        <f t="shared" si="0"/>
        <v>2.5833333333333335</v>
      </c>
      <c r="M19" s="27">
        <f t="shared" si="1"/>
        <v>28</v>
      </c>
      <c r="N19" s="27">
        <f t="shared" si="2"/>
        <v>29.400000000000002</v>
      </c>
      <c r="O19" s="27">
        <f t="shared" si="3"/>
        <v>175.95</v>
      </c>
      <c r="P19" s="46">
        <f t="shared" si="6"/>
        <v>175</v>
      </c>
      <c r="Q19" s="31">
        <f t="shared" si="4"/>
        <v>5483.402500000002</v>
      </c>
    </row>
    <row r="20" spans="1:17" x14ac:dyDescent="0.25">
      <c r="A20" s="14" t="s">
        <v>28</v>
      </c>
      <c r="B20" s="15" t="s">
        <v>105</v>
      </c>
      <c r="C20" s="16">
        <v>36830</v>
      </c>
      <c r="D20" s="36">
        <v>250</v>
      </c>
      <c r="E20" s="17">
        <v>2</v>
      </c>
      <c r="F20" s="17">
        <v>39</v>
      </c>
      <c r="G20" s="17">
        <v>1</v>
      </c>
      <c r="H20" s="17">
        <v>0</v>
      </c>
      <c r="I20" s="18">
        <v>0</v>
      </c>
      <c r="J20" s="24">
        <f>IF(COUNTBLANK(B20)=1,"",COUNTIF(B$10:B19,B20))</f>
        <v>1</v>
      </c>
      <c r="K20" s="25">
        <f t="shared" si="5"/>
        <v>1</v>
      </c>
      <c r="L20" s="26">
        <f t="shared" si="0"/>
        <v>2.65</v>
      </c>
      <c r="M20" s="27">
        <f t="shared" si="1"/>
        <v>28</v>
      </c>
      <c r="N20" s="27">
        <f t="shared" si="2"/>
        <v>29.400000000000002</v>
      </c>
      <c r="O20" s="27">
        <f t="shared" si="3"/>
        <v>177.27907024642855</v>
      </c>
      <c r="P20" s="46">
        <f t="shared" si="6"/>
        <v>175</v>
      </c>
      <c r="Q20" s="31">
        <f t="shared" si="4"/>
        <v>5288.3336242238738</v>
      </c>
    </row>
    <row r="21" spans="1:17" x14ac:dyDescent="0.25">
      <c r="A21" s="14" t="s">
        <v>29</v>
      </c>
      <c r="B21" s="15" t="s">
        <v>101</v>
      </c>
      <c r="C21" s="16">
        <v>36843</v>
      </c>
      <c r="D21" s="36">
        <v>475</v>
      </c>
      <c r="E21" s="17">
        <v>4</v>
      </c>
      <c r="F21" s="17">
        <v>17</v>
      </c>
      <c r="G21" s="17">
        <v>1</v>
      </c>
      <c r="H21" s="17">
        <v>0</v>
      </c>
      <c r="I21" s="18">
        <v>1</v>
      </c>
      <c r="J21" s="24">
        <f>IF(COUNTBLANK(B21)=1,"",COUNTIF(B$10:B20,B21))</f>
        <v>1</v>
      </c>
      <c r="K21" s="25">
        <f t="shared" si="5"/>
        <v>1</v>
      </c>
      <c r="L21" s="26">
        <f t="shared" si="0"/>
        <v>4.2833333333333332</v>
      </c>
      <c r="M21" s="27">
        <f t="shared" si="1"/>
        <v>36</v>
      </c>
      <c r="N21" s="27">
        <f t="shared" si="2"/>
        <v>37.800000000000004</v>
      </c>
      <c r="O21" s="27">
        <f t="shared" si="3"/>
        <v>261.27907024642855</v>
      </c>
      <c r="P21" s="46">
        <f t="shared" si="6"/>
        <v>250</v>
      </c>
      <c r="Q21" s="31">
        <f t="shared" si="4"/>
        <v>45676.635814731024</v>
      </c>
    </row>
    <row r="22" spans="1:17" x14ac:dyDescent="0.25">
      <c r="A22" s="14" t="s">
        <v>30</v>
      </c>
      <c r="B22" s="15" t="s">
        <v>105</v>
      </c>
      <c r="C22" s="16">
        <v>36875</v>
      </c>
      <c r="D22" s="36">
        <v>125</v>
      </c>
      <c r="E22" s="17">
        <v>1</v>
      </c>
      <c r="F22" s="17">
        <v>21</v>
      </c>
      <c r="G22" s="17">
        <v>2</v>
      </c>
      <c r="H22" s="17">
        <v>0</v>
      </c>
      <c r="I22" s="18">
        <v>0</v>
      </c>
      <c r="J22" s="24">
        <f>IF(COUNTBLANK(B22)=1,"",COUNTIF(B$10:B21,B22))</f>
        <v>2</v>
      </c>
      <c r="K22" s="25">
        <f t="shared" si="5"/>
        <v>1</v>
      </c>
      <c r="L22" s="26">
        <f t="shared" si="0"/>
        <v>1.35</v>
      </c>
      <c r="M22" s="27">
        <f t="shared" si="1"/>
        <v>28</v>
      </c>
      <c r="N22" s="27">
        <f t="shared" si="2"/>
        <v>30.87</v>
      </c>
      <c r="O22" s="27">
        <f t="shared" si="3"/>
        <v>140.67449999999999</v>
      </c>
      <c r="P22" s="46">
        <f t="shared" si="6"/>
        <v>150</v>
      </c>
      <c r="Q22" s="31">
        <f t="shared" si="4"/>
        <v>245.68995024999984</v>
      </c>
    </row>
    <row r="23" spans="1:17" x14ac:dyDescent="0.25">
      <c r="A23" s="14" t="s">
        <v>19</v>
      </c>
      <c r="B23" s="15" t="s">
        <v>105</v>
      </c>
      <c r="C23" s="16">
        <v>36899</v>
      </c>
      <c r="D23" s="36">
        <v>150</v>
      </c>
      <c r="E23" s="17">
        <v>2</v>
      </c>
      <c r="F23" s="17">
        <v>44</v>
      </c>
      <c r="G23" s="17">
        <v>1</v>
      </c>
      <c r="H23" s="17">
        <v>1</v>
      </c>
      <c r="I23" s="18">
        <v>1</v>
      </c>
      <c r="J23" s="24">
        <f>IF(COUNTBLANK(B23)=1,"",COUNTIF(B$10:B22,B23))</f>
        <v>3</v>
      </c>
      <c r="K23" s="25">
        <f t="shared" si="5"/>
        <v>1</v>
      </c>
      <c r="L23" s="26">
        <f t="shared" si="0"/>
        <v>2.7333333333333334</v>
      </c>
      <c r="M23" s="27">
        <f t="shared" si="1"/>
        <v>36</v>
      </c>
      <c r="N23" s="27">
        <f t="shared" si="2"/>
        <v>18.900000000000002</v>
      </c>
      <c r="O23" s="27">
        <f t="shared" si="3"/>
        <v>150.3981404928571</v>
      </c>
      <c r="P23" s="46">
        <f t="shared" si="6"/>
        <v>150</v>
      </c>
      <c r="Q23" s="31">
        <f t="shared" si="4"/>
        <v>0.15851585205249075</v>
      </c>
    </row>
    <row r="24" spans="1:17" x14ac:dyDescent="0.25">
      <c r="A24" s="14" t="s">
        <v>30</v>
      </c>
      <c r="B24" s="15" t="s">
        <v>101</v>
      </c>
      <c r="C24" s="16">
        <v>36916</v>
      </c>
      <c r="D24" s="36">
        <v>300</v>
      </c>
      <c r="E24" s="17">
        <v>5</v>
      </c>
      <c r="F24" s="17">
        <v>46</v>
      </c>
      <c r="G24" s="17">
        <v>1</v>
      </c>
      <c r="H24" s="17">
        <v>1</v>
      </c>
      <c r="I24" s="18">
        <v>1</v>
      </c>
      <c r="J24" s="24">
        <f>IF(COUNTBLANK(B24)=1,"",COUNTIF(B$10:B23,B24))</f>
        <v>2</v>
      </c>
      <c r="K24" s="25">
        <f t="shared" si="5"/>
        <v>1</v>
      </c>
      <c r="L24" s="26">
        <f t="shared" si="0"/>
        <v>5.7666666666666666</v>
      </c>
      <c r="M24" s="27">
        <f t="shared" si="1"/>
        <v>36</v>
      </c>
      <c r="N24" s="27">
        <f t="shared" si="2"/>
        <v>18.900000000000002</v>
      </c>
      <c r="O24" s="27">
        <f t="shared" si="3"/>
        <v>207.99</v>
      </c>
      <c r="P24" s="46">
        <f t="shared" si="6"/>
        <v>200</v>
      </c>
      <c r="Q24" s="31">
        <f t="shared" si="4"/>
        <v>8465.8400999999976</v>
      </c>
    </row>
    <row r="25" spans="1:17" x14ac:dyDescent="0.25">
      <c r="A25" s="14" t="s">
        <v>31</v>
      </c>
      <c r="B25" s="15" t="s">
        <v>107</v>
      </c>
      <c r="C25" s="16">
        <v>36957</v>
      </c>
      <c r="D25" s="36">
        <v>150</v>
      </c>
      <c r="E25" s="17">
        <v>3</v>
      </c>
      <c r="F25" s="17">
        <v>4</v>
      </c>
      <c r="G25" s="17">
        <v>1</v>
      </c>
      <c r="H25" s="17">
        <v>1</v>
      </c>
      <c r="I25" s="18">
        <v>0</v>
      </c>
      <c r="J25" s="24">
        <f>IF(COUNTBLANK(B25)=1,"",COUNTIF(B$10:B24,B25))</f>
        <v>0</v>
      </c>
      <c r="K25" s="25">
        <f t="shared" si="5"/>
        <v>1</v>
      </c>
      <c r="L25" s="26">
        <f t="shared" si="0"/>
        <v>3.0666666666666669</v>
      </c>
      <c r="M25" s="27">
        <f t="shared" si="1"/>
        <v>28</v>
      </c>
      <c r="N25" s="27">
        <f t="shared" si="2"/>
        <v>14.700000000000001</v>
      </c>
      <c r="O25" s="27">
        <f t="shared" si="3"/>
        <v>145.08000000000001</v>
      </c>
      <c r="P25" s="46">
        <f t="shared" si="6"/>
        <v>150</v>
      </c>
      <c r="Q25" s="31">
        <f t="shared" si="4"/>
        <v>24.206399999999878</v>
      </c>
    </row>
    <row r="26" spans="1:17" x14ac:dyDescent="0.25">
      <c r="A26" s="14" t="s">
        <v>32</v>
      </c>
      <c r="B26" s="15" t="s">
        <v>108</v>
      </c>
      <c r="C26" s="16">
        <v>36987</v>
      </c>
      <c r="D26" s="36">
        <v>650</v>
      </c>
      <c r="E26" s="17">
        <v>5</v>
      </c>
      <c r="F26" s="17">
        <v>37</v>
      </c>
      <c r="G26" s="17">
        <v>2</v>
      </c>
      <c r="H26" s="17">
        <v>0</v>
      </c>
      <c r="I26" s="18">
        <v>1</v>
      </c>
      <c r="J26" s="24">
        <f>IF(COUNTBLANK(B26)=1,"",COUNTIF(B$10:B25,B26))</f>
        <v>0</v>
      </c>
      <c r="K26" s="25">
        <f t="shared" si="5"/>
        <v>1</v>
      </c>
      <c r="L26" s="26">
        <f t="shared" si="0"/>
        <v>5.6166666666666671</v>
      </c>
      <c r="M26" s="27">
        <f t="shared" si="1"/>
        <v>36</v>
      </c>
      <c r="N26" s="27">
        <f t="shared" si="2"/>
        <v>39.69</v>
      </c>
      <c r="O26" s="27">
        <f t="shared" si="3"/>
        <v>322.9255</v>
      </c>
      <c r="P26" s="46">
        <f t="shared" si="6"/>
        <v>325</v>
      </c>
      <c r="Q26" s="31">
        <f t="shared" si="4"/>
        <v>106977.72855025</v>
      </c>
    </row>
    <row r="27" spans="1:17" x14ac:dyDescent="0.25">
      <c r="A27" s="14" t="s">
        <v>33</v>
      </c>
      <c r="B27" s="15" t="s">
        <v>109</v>
      </c>
      <c r="C27" s="16">
        <v>37032</v>
      </c>
      <c r="D27" s="36">
        <v>175</v>
      </c>
      <c r="E27" s="17">
        <v>1</v>
      </c>
      <c r="F27" s="17">
        <v>34</v>
      </c>
      <c r="G27" s="17">
        <v>2</v>
      </c>
      <c r="H27" s="17">
        <v>0</v>
      </c>
      <c r="I27" s="18">
        <v>0</v>
      </c>
      <c r="J27" s="24">
        <f>IF(COUNTBLANK(B27)=1,"",COUNTIF(B$10:B26,B27))</f>
        <v>0</v>
      </c>
      <c r="K27" s="25">
        <f t="shared" si="5"/>
        <v>1</v>
      </c>
      <c r="L27" s="26">
        <f t="shared" si="0"/>
        <v>1.5666666666666667</v>
      </c>
      <c r="M27" s="27">
        <f t="shared" si="1"/>
        <v>28</v>
      </c>
      <c r="N27" s="27">
        <f t="shared" si="2"/>
        <v>30.87</v>
      </c>
      <c r="O27" s="27">
        <f t="shared" si="3"/>
        <v>148.363</v>
      </c>
      <c r="P27" s="46">
        <f t="shared" si="6"/>
        <v>150</v>
      </c>
      <c r="Q27" s="31">
        <f t="shared" si="4"/>
        <v>709.52976899999999</v>
      </c>
    </row>
    <row r="28" spans="1:17" x14ac:dyDescent="0.25">
      <c r="A28" s="14" t="s">
        <v>34</v>
      </c>
      <c r="B28" s="15" t="s">
        <v>104</v>
      </c>
      <c r="C28" s="16">
        <v>37091</v>
      </c>
      <c r="D28" s="36">
        <v>100</v>
      </c>
      <c r="E28" s="17">
        <v>1</v>
      </c>
      <c r="F28" s="17">
        <v>4</v>
      </c>
      <c r="G28" s="17">
        <v>1</v>
      </c>
      <c r="H28" s="17">
        <v>0</v>
      </c>
      <c r="I28" s="18">
        <v>0</v>
      </c>
      <c r="J28" s="24">
        <f>IF(COUNTBLANK(B28)=1,"",COUNTIF(B$10:B27,B28))</f>
        <v>1</v>
      </c>
      <c r="K28" s="25">
        <f t="shared" si="5"/>
        <v>2</v>
      </c>
      <c r="L28" s="26">
        <f t="shared" si="0"/>
        <v>1.0666666666666667</v>
      </c>
      <c r="M28" s="27">
        <f t="shared" si="1"/>
        <v>32</v>
      </c>
      <c r="N28" s="27">
        <f t="shared" si="2"/>
        <v>33.6</v>
      </c>
      <c r="O28" s="27">
        <f t="shared" si="3"/>
        <v>135.20907024642855</v>
      </c>
      <c r="P28" s="46">
        <f t="shared" si="6"/>
        <v>125</v>
      </c>
      <c r="Q28" s="31">
        <f t="shared" si="4"/>
        <v>1239.6786276179405</v>
      </c>
    </row>
    <row r="29" spans="1:17" x14ac:dyDescent="0.25">
      <c r="A29" s="14" t="s">
        <v>35</v>
      </c>
      <c r="B29" s="15" t="s">
        <v>110</v>
      </c>
      <c r="C29" s="16">
        <v>37136</v>
      </c>
      <c r="D29" s="36">
        <v>175</v>
      </c>
      <c r="E29" s="17">
        <v>1</v>
      </c>
      <c r="F29" s="17">
        <v>30</v>
      </c>
      <c r="G29" s="17">
        <v>3</v>
      </c>
      <c r="H29" s="17">
        <v>0</v>
      </c>
      <c r="I29" s="18">
        <v>0</v>
      </c>
      <c r="J29" s="24">
        <f>IF(COUNTBLANK(B29)=1,"",COUNTIF(B$10:B28,B29))</f>
        <v>0</v>
      </c>
      <c r="K29" s="25">
        <f t="shared" si="5"/>
        <v>2</v>
      </c>
      <c r="L29" s="26">
        <f t="shared" si="0"/>
        <v>1.5</v>
      </c>
      <c r="M29" s="27">
        <f t="shared" si="1"/>
        <v>32</v>
      </c>
      <c r="N29" s="27">
        <f t="shared" si="2"/>
        <v>37.044000000000004</v>
      </c>
      <c r="O29" s="27">
        <f t="shared" si="3"/>
        <v>155.566</v>
      </c>
      <c r="P29" s="46">
        <f t="shared" si="6"/>
        <v>150</v>
      </c>
      <c r="Q29" s="31">
        <f t="shared" si="4"/>
        <v>377.6803559999999</v>
      </c>
    </row>
    <row r="30" spans="1:17" x14ac:dyDescent="0.25">
      <c r="A30" s="14" t="s">
        <v>36</v>
      </c>
      <c r="B30" s="15" t="s">
        <v>100</v>
      </c>
      <c r="C30" s="16">
        <v>37166</v>
      </c>
      <c r="D30" s="36">
        <v>200</v>
      </c>
      <c r="E30" s="17">
        <v>2</v>
      </c>
      <c r="F30" s="17">
        <v>4</v>
      </c>
      <c r="G30" s="17">
        <v>1</v>
      </c>
      <c r="H30" s="17">
        <v>0</v>
      </c>
      <c r="I30" s="18">
        <v>0</v>
      </c>
      <c r="J30" s="24">
        <f>IF(COUNTBLANK(B30)=1,"",COUNTIF(B$10:B29,B30))</f>
        <v>1</v>
      </c>
      <c r="K30" s="25">
        <f t="shared" si="5"/>
        <v>2</v>
      </c>
      <c r="L30" s="26">
        <f t="shared" si="0"/>
        <v>2.0666666666666669</v>
      </c>
      <c r="M30" s="27">
        <f t="shared" si="1"/>
        <v>32</v>
      </c>
      <c r="N30" s="27">
        <f t="shared" si="2"/>
        <v>33.6</v>
      </c>
      <c r="O30" s="27">
        <f t="shared" si="3"/>
        <v>168.80907024642855</v>
      </c>
      <c r="P30" s="46">
        <f t="shared" si="6"/>
        <v>175</v>
      </c>
      <c r="Q30" s="31">
        <f t="shared" si="4"/>
        <v>972.87409889222897</v>
      </c>
    </row>
    <row r="31" spans="1:17" x14ac:dyDescent="0.25">
      <c r="A31" s="14" t="s">
        <v>37</v>
      </c>
      <c r="B31" s="15" t="s">
        <v>111</v>
      </c>
      <c r="C31" s="16">
        <v>37217</v>
      </c>
      <c r="D31" s="36">
        <v>325</v>
      </c>
      <c r="E31" s="17">
        <v>2</v>
      </c>
      <c r="F31" s="17">
        <v>54</v>
      </c>
      <c r="G31" s="17">
        <v>4</v>
      </c>
      <c r="H31" s="17">
        <v>0</v>
      </c>
      <c r="I31" s="18">
        <v>0</v>
      </c>
      <c r="J31" s="24">
        <f>IF(COUNTBLANK(B31)=1,"",COUNTIF(B$10:B30,B31))</f>
        <v>0</v>
      </c>
      <c r="K31" s="25">
        <f t="shared" si="5"/>
        <v>2</v>
      </c>
      <c r="L31" s="26">
        <f t="shared" si="0"/>
        <v>2.9</v>
      </c>
      <c r="M31" s="27">
        <f t="shared" si="1"/>
        <v>32</v>
      </c>
      <c r="N31" s="27">
        <f t="shared" si="2"/>
        <v>38.8962</v>
      </c>
      <c r="O31" s="27">
        <f t="shared" si="3"/>
        <v>212.79898</v>
      </c>
      <c r="P31" s="46">
        <f t="shared" si="6"/>
        <v>225</v>
      </c>
      <c r="Q31" s="31">
        <f t="shared" si="4"/>
        <v>12589.0688890404</v>
      </c>
    </row>
    <row r="32" spans="1:17" x14ac:dyDescent="0.25">
      <c r="A32" s="14" t="s">
        <v>38</v>
      </c>
      <c r="B32" s="15" t="s">
        <v>101</v>
      </c>
      <c r="C32" s="16">
        <v>37256</v>
      </c>
      <c r="D32" s="36">
        <v>525</v>
      </c>
      <c r="E32" s="17">
        <v>4</v>
      </c>
      <c r="F32" s="17">
        <v>32</v>
      </c>
      <c r="G32" s="17">
        <v>4</v>
      </c>
      <c r="H32" s="17">
        <v>0</v>
      </c>
      <c r="I32" s="18">
        <v>0</v>
      </c>
      <c r="J32" s="24">
        <f>IF(COUNTBLANK(B32)=1,"",COUNTIF(B$10:B31,B32))</f>
        <v>3</v>
      </c>
      <c r="K32" s="25">
        <f t="shared" si="5"/>
        <v>2</v>
      </c>
      <c r="L32" s="26">
        <f t="shared" si="0"/>
        <v>4.5333333333333332</v>
      </c>
      <c r="M32" s="27">
        <f t="shared" si="1"/>
        <v>32</v>
      </c>
      <c r="N32" s="27">
        <f t="shared" si="2"/>
        <v>38.8962</v>
      </c>
      <c r="O32" s="27">
        <f t="shared" si="3"/>
        <v>275.06758049285708</v>
      </c>
      <c r="P32" s="46">
        <f t="shared" si="6"/>
        <v>275</v>
      </c>
      <c r="Q32" s="31">
        <f t="shared" si="4"/>
        <v>62466.214320694475</v>
      </c>
    </row>
    <row r="33" spans="1:17" x14ac:dyDescent="0.25">
      <c r="A33" s="14" t="s">
        <v>39</v>
      </c>
      <c r="B33" s="15" t="s">
        <v>101</v>
      </c>
      <c r="C33" s="16">
        <v>37306</v>
      </c>
      <c r="D33" s="36">
        <v>200</v>
      </c>
      <c r="E33" s="17">
        <v>2</v>
      </c>
      <c r="F33" s="17">
        <v>2</v>
      </c>
      <c r="G33" s="17">
        <v>1</v>
      </c>
      <c r="H33" s="17">
        <v>0</v>
      </c>
      <c r="I33" s="18">
        <v>0</v>
      </c>
      <c r="J33" s="24">
        <f>IF(COUNTBLANK(B33)=1,"",COUNTIF(B$10:B32,B33))</f>
        <v>4</v>
      </c>
      <c r="K33" s="25">
        <f t="shared" si="5"/>
        <v>2</v>
      </c>
      <c r="L33" s="26">
        <f t="shared" si="0"/>
        <v>2.0333333333333332</v>
      </c>
      <c r="M33" s="27">
        <f t="shared" si="1"/>
        <v>32</v>
      </c>
      <c r="N33" s="27">
        <f t="shared" si="2"/>
        <v>33.6</v>
      </c>
      <c r="O33" s="27">
        <f t="shared" si="3"/>
        <v>166.85502647928206</v>
      </c>
      <c r="P33" s="46">
        <f t="shared" si="6"/>
        <v>175</v>
      </c>
      <c r="Q33" s="31">
        <f t="shared" si="4"/>
        <v>1098.5892696890935</v>
      </c>
    </row>
    <row r="34" spans="1:17" x14ac:dyDescent="0.25">
      <c r="A34" s="14" t="s">
        <v>40</v>
      </c>
      <c r="B34" s="15" t="s">
        <v>110</v>
      </c>
      <c r="C34" s="16">
        <v>37316</v>
      </c>
      <c r="D34" s="36">
        <v>350</v>
      </c>
      <c r="E34" s="17">
        <v>3</v>
      </c>
      <c r="F34" s="17">
        <v>38</v>
      </c>
      <c r="G34" s="17">
        <v>1</v>
      </c>
      <c r="H34" s="17">
        <v>0</v>
      </c>
      <c r="I34" s="18">
        <v>0</v>
      </c>
      <c r="J34" s="24">
        <f>IF(COUNTBLANK(B34)=1,"",COUNTIF(B$10:B33,B34))</f>
        <v>1</v>
      </c>
      <c r="K34" s="25">
        <f t="shared" si="5"/>
        <v>2</v>
      </c>
      <c r="L34" s="26">
        <f t="shared" si="0"/>
        <v>3.6333333333333333</v>
      </c>
      <c r="M34" s="27">
        <f t="shared" si="1"/>
        <v>32</v>
      </c>
      <c r="N34" s="27">
        <f t="shared" si="2"/>
        <v>33.6</v>
      </c>
      <c r="O34" s="27">
        <f t="shared" si="3"/>
        <v>221.44907024642853</v>
      </c>
      <c r="P34" s="46">
        <f t="shared" si="6"/>
        <v>225</v>
      </c>
      <c r="Q34" s="31">
        <f t="shared" si="4"/>
        <v>16525.341540507667</v>
      </c>
    </row>
    <row r="35" spans="1:17" x14ac:dyDescent="0.25">
      <c r="A35" s="14" t="s">
        <v>41</v>
      </c>
      <c r="B35" s="15" t="s">
        <v>101</v>
      </c>
      <c r="C35" s="16">
        <v>37327</v>
      </c>
      <c r="D35" s="36">
        <v>525</v>
      </c>
      <c r="E35" s="17">
        <v>4</v>
      </c>
      <c r="F35" s="17">
        <v>41</v>
      </c>
      <c r="G35" s="17">
        <v>4</v>
      </c>
      <c r="H35" s="17">
        <v>0</v>
      </c>
      <c r="I35" s="18">
        <v>0</v>
      </c>
      <c r="J35" s="24">
        <f>IF(COUNTBLANK(B35)=1,"",COUNTIF(B$10:B34,B35))</f>
        <v>5</v>
      </c>
      <c r="K35" s="25">
        <f t="shared" si="5"/>
        <v>2</v>
      </c>
      <c r="L35" s="26">
        <f t="shared" si="0"/>
        <v>4.6833333333333336</v>
      </c>
      <c r="M35" s="27">
        <f t="shared" si="1"/>
        <v>32</v>
      </c>
      <c r="N35" s="27">
        <f t="shared" si="2"/>
        <v>38.8962</v>
      </c>
      <c r="O35" s="27">
        <f t="shared" si="3"/>
        <v>280.5329402464285</v>
      </c>
      <c r="P35" s="46">
        <f t="shared" si="6"/>
        <v>275</v>
      </c>
      <c r="Q35" s="31">
        <f t="shared" si="4"/>
        <v>59764.143304556303</v>
      </c>
    </row>
    <row r="36" spans="1:17" x14ac:dyDescent="0.25">
      <c r="A36" s="14" t="s">
        <v>42</v>
      </c>
      <c r="B36" s="15" t="s">
        <v>112</v>
      </c>
      <c r="C36" s="16">
        <v>37357</v>
      </c>
      <c r="D36" s="36">
        <v>125</v>
      </c>
      <c r="E36" s="17">
        <v>1</v>
      </c>
      <c r="F36" s="17">
        <v>8</v>
      </c>
      <c r="G36" s="17">
        <v>4</v>
      </c>
      <c r="H36" s="17">
        <v>0</v>
      </c>
      <c r="I36" s="18">
        <v>0</v>
      </c>
      <c r="J36" s="24">
        <f>IF(COUNTBLANK(B36)=1,"",COUNTIF(B$10:B35,B36))</f>
        <v>0</v>
      </c>
      <c r="K36" s="25">
        <f t="shared" si="5"/>
        <v>2</v>
      </c>
      <c r="L36" s="26">
        <f t="shared" si="0"/>
        <v>1.1333333333333333</v>
      </c>
      <c r="M36" s="27">
        <f t="shared" si="1"/>
        <v>32</v>
      </c>
      <c r="N36" s="27">
        <f t="shared" si="2"/>
        <v>38.8962</v>
      </c>
      <c r="O36" s="27">
        <f t="shared" si="3"/>
        <v>144.08235999999999</v>
      </c>
      <c r="P36" s="46">
        <f t="shared" si="6"/>
        <v>150</v>
      </c>
      <c r="Q36" s="31">
        <f t="shared" si="4"/>
        <v>364.13646316959978</v>
      </c>
    </row>
    <row r="37" spans="1:17" x14ac:dyDescent="0.25">
      <c r="A37" s="14" t="s">
        <v>43</v>
      </c>
      <c r="B37" s="15" t="s">
        <v>101</v>
      </c>
      <c r="C37" s="16">
        <v>37397</v>
      </c>
      <c r="D37" s="36">
        <v>550</v>
      </c>
      <c r="E37" s="17">
        <v>5</v>
      </c>
      <c r="F37" s="17">
        <v>27</v>
      </c>
      <c r="G37" s="17">
        <v>2</v>
      </c>
      <c r="H37" s="17">
        <v>0</v>
      </c>
      <c r="I37" s="18">
        <v>0</v>
      </c>
      <c r="J37" s="24">
        <f>IF(COUNTBLANK(B37)=1,"",COUNTIF(B$10:B36,B37))</f>
        <v>6</v>
      </c>
      <c r="K37" s="25">
        <f t="shared" si="5"/>
        <v>2</v>
      </c>
      <c r="L37" s="26">
        <f t="shared" si="0"/>
        <v>5.45</v>
      </c>
      <c r="M37" s="27">
        <f t="shared" si="1"/>
        <v>32</v>
      </c>
      <c r="N37" s="27">
        <f t="shared" si="2"/>
        <v>35.28</v>
      </c>
      <c r="O37" s="27">
        <f t="shared" si="3"/>
        <v>290.50475625083857</v>
      </c>
      <c r="P37" s="46">
        <f t="shared" si="6"/>
        <v>300</v>
      </c>
      <c r="Q37" s="31">
        <f t="shared" si="4"/>
        <v>67337.78152843671</v>
      </c>
    </row>
    <row r="38" spans="1:17" x14ac:dyDescent="0.25">
      <c r="A38" s="14" t="s">
        <v>44</v>
      </c>
      <c r="B38" s="15" t="s">
        <v>112</v>
      </c>
      <c r="C38" s="16">
        <v>37420</v>
      </c>
      <c r="D38" s="36">
        <v>200</v>
      </c>
      <c r="E38" s="17">
        <v>2</v>
      </c>
      <c r="F38" s="17">
        <v>7</v>
      </c>
      <c r="G38" s="17">
        <v>1</v>
      </c>
      <c r="H38" s="17">
        <v>0</v>
      </c>
      <c r="I38" s="18">
        <v>0</v>
      </c>
      <c r="J38" s="24">
        <f>IF(COUNTBLANK(B38)=1,"",COUNTIF(B$10:B37,B38))</f>
        <v>1</v>
      </c>
      <c r="K38" s="25">
        <f t="shared" si="5"/>
        <v>2</v>
      </c>
      <c r="L38" s="26">
        <f t="shared" si="0"/>
        <v>2.1166666666666667</v>
      </c>
      <c r="M38" s="27">
        <f t="shared" si="1"/>
        <v>32</v>
      </c>
      <c r="N38" s="27">
        <f t="shared" si="2"/>
        <v>33.6</v>
      </c>
      <c r="O38" s="27">
        <f t="shared" si="3"/>
        <v>170.48907024642855</v>
      </c>
      <c r="P38" s="46">
        <f t="shared" si="6"/>
        <v>175</v>
      </c>
      <c r="Q38" s="31">
        <f t="shared" si="4"/>
        <v>870.89497492022849</v>
      </c>
    </row>
    <row r="39" spans="1:17" x14ac:dyDescent="0.25">
      <c r="A39" s="14" t="s">
        <v>20</v>
      </c>
      <c r="B39" s="15" t="s">
        <v>108</v>
      </c>
      <c r="C39" s="16">
        <v>37476</v>
      </c>
      <c r="D39" s="36">
        <v>75</v>
      </c>
      <c r="E39" s="17">
        <v>1</v>
      </c>
      <c r="F39" s="17">
        <v>13</v>
      </c>
      <c r="G39" s="17">
        <v>4</v>
      </c>
      <c r="H39" s="17">
        <v>1</v>
      </c>
      <c r="I39" s="18">
        <v>0</v>
      </c>
      <c r="J39" s="24">
        <f>IF(COUNTBLANK(B39)=1,"",COUNTIF(B$10:B38,B39))</f>
        <v>1</v>
      </c>
      <c r="K39" s="25">
        <f t="shared" si="5"/>
        <v>3</v>
      </c>
      <c r="L39" s="26">
        <f t="shared" si="0"/>
        <v>1.2166666666666668</v>
      </c>
      <c r="M39" s="27">
        <f t="shared" si="1"/>
        <v>36</v>
      </c>
      <c r="N39" s="27">
        <f t="shared" si="2"/>
        <v>21.879112500000002</v>
      </c>
      <c r="O39" s="27">
        <f t="shared" si="3"/>
        <v>125.98865712142856</v>
      </c>
      <c r="P39" s="46">
        <f t="shared" si="6"/>
        <v>125</v>
      </c>
      <c r="Q39" s="31">
        <f t="shared" si="4"/>
        <v>2599.8431550466075</v>
      </c>
    </row>
    <row r="40" spans="1:17" x14ac:dyDescent="0.25">
      <c r="A40" s="14" t="s">
        <v>21</v>
      </c>
      <c r="B40" s="15" t="s">
        <v>113</v>
      </c>
      <c r="C40" s="16">
        <v>37507</v>
      </c>
      <c r="D40" s="36">
        <v>50</v>
      </c>
      <c r="E40" s="17">
        <v>1</v>
      </c>
      <c r="F40" s="17">
        <v>4</v>
      </c>
      <c r="G40" s="17">
        <v>1</v>
      </c>
      <c r="H40" s="17">
        <v>1</v>
      </c>
      <c r="I40" s="18">
        <v>0</v>
      </c>
      <c r="J40" s="24">
        <f>IF(COUNTBLANK(B40)=1,"",COUNTIF(B$10:B39,B40))</f>
        <v>0</v>
      </c>
      <c r="K40" s="25">
        <f t="shared" si="5"/>
        <v>3</v>
      </c>
      <c r="L40" s="26">
        <f t="shared" si="0"/>
        <v>1.0666666666666667</v>
      </c>
      <c r="M40" s="27">
        <f t="shared" si="1"/>
        <v>36</v>
      </c>
      <c r="N40" s="27">
        <f t="shared" si="2"/>
        <v>18.900000000000002</v>
      </c>
      <c r="O40" s="27">
        <f t="shared" si="3"/>
        <v>120.16</v>
      </c>
      <c r="P40" s="46">
        <f t="shared" si="6"/>
        <v>125</v>
      </c>
      <c r="Q40" s="31">
        <f t="shared" si="4"/>
        <v>4922.4255999999996</v>
      </c>
    </row>
    <row r="41" spans="1:17" x14ac:dyDescent="0.25">
      <c r="A41" s="14" t="s">
        <v>22</v>
      </c>
      <c r="B41" s="15" t="s">
        <v>114</v>
      </c>
      <c r="C41" s="16">
        <v>37535</v>
      </c>
      <c r="D41" s="36">
        <v>225</v>
      </c>
      <c r="E41" s="17">
        <v>3</v>
      </c>
      <c r="F41" s="17">
        <v>54</v>
      </c>
      <c r="G41" s="17">
        <v>2</v>
      </c>
      <c r="H41" s="17">
        <v>1</v>
      </c>
      <c r="I41" s="18">
        <v>0</v>
      </c>
      <c r="J41" s="24">
        <f>IF(COUNTBLANK(B41)=1,"",COUNTIF(B$10:B40,B41))</f>
        <v>0</v>
      </c>
      <c r="K41" s="25">
        <f t="shared" si="5"/>
        <v>3</v>
      </c>
      <c r="L41" s="26">
        <f t="shared" si="0"/>
        <v>3.9</v>
      </c>
      <c r="M41" s="27">
        <f t="shared" si="1"/>
        <v>36</v>
      </c>
      <c r="N41" s="27">
        <f t="shared" si="2"/>
        <v>19.844999999999999</v>
      </c>
      <c r="O41" s="27">
        <f t="shared" si="3"/>
        <v>177.3955</v>
      </c>
      <c r="P41" s="46">
        <f t="shared" si="6"/>
        <v>175</v>
      </c>
      <c r="Q41" s="31">
        <f t="shared" si="4"/>
        <v>2266.18842025</v>
      </c>
    </row>
    <row r="42" spans="1:17" x14ac:dyDescent="0.25">
      <c r="A42" s="14" t="s">
        <v>23</v>
      </c>
      <c r="B42" s="15" t="s">
        <v>115</v>
      </c>
      <c r="C42" s="16">
        <v>37593</v>
      </c>
      <c r="D42" s="36">
        <v>325</v>
      </c>
      <c r="E42" s="17">
        <v>5</v>
      </c>
      <c r="F42" s="17">
        <v>30</v>
      </c>
      <c r="G42" s="17">
        <v>3</v>
      </c>
      <c r="H42" s="17">
        <v>1</v>
      </c>
      <c r="I42" s="18">
        <v>0</v>
      </c>
      <c r="J42" s="24">
        <f>IF(COUNTBLANK(B42)=1,"",COUNTIF(B$10:B41,B42))</f>
        <v>0</v>
      </c>
      <c r="K42" s="25">
        <f t="shared" si="5"/>
        <v>3</v>
      </c>
      <c r="L42" s="26">
        <f t="shared" si="0"/>
        <v>5.5</v>
      </c>
      <c r="M42" s="27">
        <f t="shared" si="1"/>
        <v>36</v>
      </c>
      <c r="N42" s="27">
        <f t="shared" si="2"/>
        <v>20.837250000000001</v>
      </c>
      <c r="O42" s="27">
        <f t="shared" si="3"/>
        <v>214.60487499999999</v>
      </c>
      <c r="P42" s="46">
        <f t="shared" si="6"/>
        <v>225</v>
      </c>
      <c r="Q42" s="31">
        <f t="shared" si="4"/>
        <v>12187.083623765626</v>
      </c>
    </row>
    <row r="43" spans="1:17" x14ac:dyDescent="0.25">
      <c r="A43" s="14" t="s">
        <v>24</v>
      </c>
      <c r="B43" s="15" t="s">
        <v>116</v>
      </c>
      <c r="C43" s="16">
        <v>37609</v>
      </c>
      <c r="D43" s="36">
        <v>275</v>
      </c>
      <c r="E43" s="17">
        <v>4</v>
      </c>
      <c r="F43" s="17">
        <v>37</v>
      </c>
      <c r="G43" s="17">
        <v>3</v>
      </c>
      <c r="H43" s="17">
        <v>1</v>
      </c>
      <c r="I43" s="18">
        <v>0</v>
      </c>
      <c r="J43" s="24">
        <f>IF(COUNTBLANK(B43)=1,"",COUNTIF(B$10:B42,B43))</f>
        <v>0</v>
      </c>
      <c r="K43" s="25">
        <f t="shared" si="5"/>
        <v>3</v>
      </c>
      <c r="L43" s="26">
        <f t="shared" ref="L43:L74" si="7">IF(E43+(F43/60)=0,"",E43+(F43/60))</f>
        <v>4.6166666666666671</v>
      </c>
      <c r="M43" s="27">
        <f t="shared" ref="M43:M74" si="8">IFERROR($B$5+($B$4*K43)+($B$3*I43),"")</f>
        <v>36</v>
      </c>
      <c r="N43" s="27">
        <f t="shared" ref="N43:N74" si="9">IFERROR(M43*($B$1^G43)/($B$2+H43),"")</f>
        <v>20.837250000000001</v>
      </c>
      <c r="O43" s="27">
        <f t="shared" ref="O43:O74" si="10">IFERROR($B$6+(N43*L43)+($B$7*LOG(1+J43,(1/3))),"")</f>
        <v>196.19863750000002</v>
      </c>
      <c r="P43" s="46">
        <f t="shared" si="6"/>
        <v>200</v>
      </c>
      <c r="Q43" s="31">
        <f t="shared" ref="Q43:Q74" si="11">(D43-O43)^2</f>
        <v>6209.6547318564035</v>
      </c>
    </row>
    <row r="44" spans="1:17" x14ac:dyDescent="0.25">
      <c r="A44" s="14" t="s">
        <v>45</v>
      </c>
      <c r="B44" s="15" t="s">
        <v>109</v>
      </c>
      <c r="C44" s="16">
        <v>37652</v>
      </c>
      <c r="D44" s="36">
        <v>400</v>
      </c>
      <c r="E44" s="17">
        <v>3</v>
      </c>
      <c r="F44" s="17">
        <v>46</v>
      </c>
      <c r="G44" s="17">
        <v>1</v>
      </c>
      <c r="H44" s="17">
        <v>0</v>
      </c>
      <c r="I44" s="18">
        <v>0</v>
      </c>
      <c r="J44" s="24">
        <f>IF(COUNTBLANK(B44)=1,"",COUNTIF(B$10:B43,B44))</f>
        <v>1</v>
      </c>
      <c r="K44" s="25">
        <f t="shared" si="5"/>
        <v>3</v>
      </c>
      <c r="L44" s="26">
        <f t="shared" si="7"/>
        <v>3.7666666666666666</v>
      </c>
      <c r="M44" s="27">
        <f t="shared" si="8"/>
        <v>36</v>
      </c>
      <c r="N44" s="27">
        <f t="shared" si="9"/>
        <v>37.800000000000004</v>
      </c>
      <c r="O44" s="27">
        <f t="shared" si="10"/>
        <v>241.74907024642857</v>
      </c>
      <c r="P44" s="46">
        <f t="shared" si="6"/>
        <v>250</v>
      </c>
      <c r="Q44" s="31">
        <f t="shared" si="11"/>
        <v>25043.356767869798</v>
      </c>
    </row>
    <row r="45" spans="1:17" x14ac:dyDescent="0.25">
      <c r="A45" s="14" t="s">
        <v>46</v>
      </c>
      <c r="B45" s="15" t="s">
        <v>109</v>
      </c>
      <c r="C45" s="16">
        <v>37687</v>
      </c>
      <c r="D45" s="36">
        <v>225</v>
      </c>
      <c r="E45" s="17">
        <v>2</v>
      </c>
      <c r="F45" s="17">
        <v>10</v>
      </c>
      <c r="G45" s="17">
        <v>2</v>
      </c>
      <c r="H45" s="17">
        <v>0</v>
      </c>
      <c r="I45" s="18">
        <v>0</v>
      </c>
      <c r="J45" s="24">
        <f>IF(COUNTBLANK(B45)=1,"",COUNTIF(B$10:B44,B45))</f>
        <v>2</v>
      </c>
      <c r="K45" s="25">
        <f t="shared" si="5"/>
        <v>3</v>
      </c>
      <c r="L45" s="26">
        <f t="shared" si="7"/>
        <v>2.1666666666666665</v>
      </c>
      <c r="M45" s="27">
        <f t="shared" si="8"/>
        <v>36</v>
      </c>
      <c r="N45" s="27">
        <f t="shared" si="9"/>
        <v>39.69</v>
      </c>
      <c r="O45" s="27">
        <f t="shared" si="10"/>
        <v>184.995</v>
      </c>
      <c r="P45" s="46">
        <f t="shared" si="6"/>
        <v>175</v>
      </c>
      <c r="Q45" s="31">
        <f t="shared" si="11"/>
        <v>1600.4000249999997</v>
      </c>
    </row>
    <row r="46" spans="1:17" x14ac:dyDescent="0.25">
      <c r="A46" s="14" t="s">
        <v>47</v>
      </c>
      <c r="B46" s="15" t="s">
        <v>101</v>
      </c>
      <c r="C46" s="16">
        <v>37730</v>
      </c>
      <c r="D46" s="36">
        <v>550</v>
      </c>
      <c r="E46" s="17">
        <v>5</v>
      </c>
      <c r="F46" s="17">
        <v>11</v>
      </c>
      <c r="G46" s="17">
        <v>2</v>
      </c>
      <c r="H46" s="17">
        <v>0</v>
      </c>
      <c r="I46" s="18">
        <v>0</v>
      </c>
      <c r="J46" s="24">
        <f>IF(COUNTBLANK(B46)=1,"",COUNTIF(B$10:B45,B46))</f>
        <v>7</v>
      </c>
      <c r="K46" s="25">
        <f t="shared" si="5"/>
        <v>3</v>
      </c>
      <c r="L46" s="26">
        <f t="shared" si="7"/>
        <v>5.1833333333333336</v>
      </c>
      <c r="M46" s="27">
        <f t="shared" si="8"/>
        <v>36</v>
      </c>
      <c r="N46" s="27">
        <f t="shared" si="9"/>
        <v>39.69</v>
      </c>
      <c r="O46" s="27">
        <f t="shared" si="10"/>
        <v>303.83371073928561</v>
      </c>
      <c r="P46" s="46">
        <f t="shared" si="6"/>
        <v>300</v>
      </c>
      <c r="Q46" s="31">
        <f t="shared" si="11"/>
        <v>60597.841968389708</v>
      </c>
    </row>
    <row r="47" spans="1:17" x14ac:dyDescent="0.25">
      <c r="A47" s="14" t="s">
        <v>48</v>
      </c>
      <c r="B47" s="15" t="s">
        <v>110</v>
      </c>
      <c r="C47" s="16">
        <v>37745</v>
      </c>
      <c r="D47" s="36">
        <v>225</v>
      </c>
      <c r="E47" s="17">
        <v>2</v>
      </c>
      <c r="F47" s="17">
        <v>19</v>
      </c>
      <c r="G47" s="17">
        <v>1</v>
      </c>
      <c r="H47" s="17">
        <v>0</v>
      </c>
      <c r="I47" s="18">
        <v>0</v>
      </c>
      <c r="J47" s="24">
        <f>IF(COUNTBLANK(B47)=1,"",COUNTIF(B$10:B46,B47))</f>
        <v>2</v>
      </c>
      <c r="K47" s="25">
        <f t="shared" si="5"/>
        <v>3</v>
      </c>
      <c r="L47" s="26">
        <f t="shared" si="7"/>
        <v>2.3166666666666664</v>
      </c>
      <c r="M47" s="27">
        <f t="shared" si="8"/>
        <v>36</v>
      </c>
      <c r="N47" s="27">
        <f t="shared" si="9"/>
        <v>37.800000000000004</v>
      </c>
      <c r="O47" s="27">
        <f t="shared" si="10"/>
        <v>186.57</v>
      </c>
      <c r="P47" s="46">
        <f t="shared" si="6"/>
        <v>175</v>
      </c>
      <c r="Q47" s="31">
        <f t="shared" si="11"/>
        <v>1476.8649000000005</v>
      </c>
    </row>
    <row r="48" spans="1:17" x14ac:dyDescent="0.25">
      <c r="A48" s="14" t="s">
        <v>49</v>
      </c>
      <c r="B48" s="15" t="s">
        <v>103</v>
      </c>
      <c r="C48" s="16">
        <v>37782</v>
      </c>
      <c r="D48" s="36">
        <v>300</v>
      </c>
      <c r="E48" s="17">
        <v>2</v>
      </c>
      <c r="F48" s="17">
        <v>31</v>
      </c>
      <c r="G48" s="17">
        <v>4</v>
      </c>
      <c r="H48" s="17">
        <v>0</v>
      </c>
      <c r="I48" s="18">
        <v>0</v>
      </c>
      <c r="J48" s="24">
        <f>IF(COUNTBLANK(B48)=1,"",COUNTIF(B$10:B47,B48))</f>
        <v>1</v>
      </c>
      <c r="K48" s="25">
        <f t="shared" si="5"/>
        <v>3</v>
      </c>
      <c r="L48" s="26">
        <f t="shared" si="7"/>
        <v>2.5166666666666666</v>
      </c>
      <c r="M48" s="27">
        <f t="shared" si="8"/>
        <v>36</v>
      </c>
      <c r="N48" s="27">
        <f t="shared" si="9"/>
        <v>43.758225000000003</v>
      </c>
      <c r="O48" s="27">
        <f t="shared" si="10"/>
        <v>209.49393649642857</v>
      </c>
      <c r="P48" s="46">
        <f t="shared" si="6"/>
        <v>200</v>
      </c>
      <c r="Q48" s="31">
        <f t="shared" si="11"/>
        <v>8191.3475309125033</v>
      </c>
    </row>
    <row r="49" spans="1:17" x14ac:dyDescent="0.25">
      <c r="A49" s="14" t="s">
        <v>50</v>
      </c>
      <c r="B49" s="15" t="s">
        <v>109</v>
      </c>
      <c r="C49" s="16">
        <v>37803</v>
      </c>
      <c r="D49" s="36">
        <v>100</v>
      </c>
      <c r="E49" s="17">
        <v>1</v>
      </c>
      <c r="F49" s="17">
        <v>3</v>
      </c>
      <c r="G49" s="17">
        <v>2</v>
      </c>
      <c r="H49" s="17">
        <v>0</v>
      </c>
      <c r="I49" s="18">
        <v>0</v>
      </c>
      <c r="J49" s="24">
        <f>IF(COUNTBLANK(B49)=1,"",COUNTIF(B$10:B48,B49))</f>
        <v>3</v>
      </c>
      <c r="K49" s="25">
        <f t="shared" si="5"/>
        <v>3</v>
      </c>
      <c r="L49" s="26">
        <f t="shared" si="7"/>
        <v>1.05</v>
      </c>
      <c r="M49" s="27">
        <f t="shared" si="8"/>
        <v>36</v>
      </c>
      <c r="N49" s="27">
        <f t="shared" si="9"/>
        <v>39.69</v>
      </c>
      <c r="O49" s="27">
        <f t="shared" si="10"/>
        <v>140.41264049285709</v>
      </c>
      <c r="P49" s="46">
        <f t="shared" si="6"/>
        <v>150</v>
      </c>
      <c r="Q49" s="31">
        <f t="shared" si="11"/>
        <v>1633.1815116049129</v>
      </c>
    </row>
    <row r="50" spans="1:17" x14ac:dyDescent="0.25">
      <c r="A50" s="14" t="s">
        <v>51</v>
      </c>
      <c r="B50" s="15" t="s">
        <v>105</v>
      </c>
      <c r="C50" s="16">
        <v>37843</v>
      </c>
      <c r="D50" s="36">
        <v>275</v>
      </c>
      <c r="E50" s="17">
        <v>2</v>
      </c>
      <c r="F50" s="17">
        <v>37</v>
      </c>
      <c r="G50" s="17">
        <v>2</v>
      </c>
      <c r="H50" s="17">
        <v>0</v>
      </c>
      <c r="I50" s="18">
        <v>0</v>
      </c>
      <c r="J50" s="24">
        <f>IF(COUNTBLANK(B50)=1,"",COUNTIF(B$10:B49,B50))</f>
        <v>4</v>
      </c>
      <c r="K50" s="25">
        <f t="shared" si="5"/>
        <v>4</v>
      </c>
      <c r="L50" s="26">
        <f t="shared" si="7"/>
        <v>2.6166666666666667</v>
      </c>
      <c r="M50" s="27">
        <f t="shared" si="8"/>
        <v>40</v>
      </c>
      <c r="N50" s="27">
        <f t="shared" si="9"/>
        <v>44.1</v>
      </c>
      <c r="O50" s="27">
        <f t="shared" si="10"/>
        <v>213.93002647928208</v>
      </c>
      <c r="P50" s="46">
        <f t="shared" si="6"/>
        <v>225</v>
      </c>
      <c r="Q50" s="31">
        <f t="shared" si="11"/>
        <v>3729.5416658211884</v>
      </c>
    </row>
    <row r="51" spans="1:17" x14ac:dyDescent="0.25">
      <c r="A51" s="14" t="s">
        <v>52</v>
      </c>
      <c r="B51" s="15" t="s">
        <v>103</v>
      </c>
      <c r="C51" s="16">
        <v>37879</v>
      </c>
      <c r="D51" s="36">
        <v>350</v>
      </c>
      <c r="E51" s="17">
        <v>2</v>
      </c>
      <c r="F51" s="17">
        <v>55</v>
      </c>
      <c r="G51" s="17">
        <v>2</v>
      </c>
      <c r="H51" s="17">
        <v>0</v>
      </c>
      <c r="I51" s="18">
        <v>1</v>
      </c>
      <c r="J51" s="24">
        <f>IF(COUNTBLANK(B51)=1,"",COUNTIF(B$10:B50,B51))</f>
        <v>2</v>
      </c>
      <c r="K51" s="25">
        <f t="shared" si="5"/>
        <v>4</v>
      </c>
      <c r="L51" s="26">
        <f t="shared" si="7"/>
        <v>2.9166666666666665</v>
      </c>
      <c r="M51" s="27">
        <f t="shared" si="8"/>
        <v>48</v>
      </c>
      <c r="N51" s="27">
        <f t="shared" si="9"/>
        <v>52.92</v>
      </c>
      <c r="O51" s="27">
        <f t="shared" si="10"/>
        <v>253.35</v>
      </c>
      <c r="P51" s="46">
        <f t="shared" si="6"/>
        <v>250</v>
      </c>
      <c r="Q51" s="31">
        <f t="shared" si="11"/>
        <v>9341.2225000000017</v>
      </c>
    </row>
    <row r="52" spans="1:17" x14ac:dyDescent="0.25">
      <c r="A52" s="14" t="s">
        <v>53</v>
      </c>
      <c r="B52" s="15" t="s">
        <v>116</v>
      </c>
      <c r="C52" s="16">
        <v>37937</v>
      </c>
      <c r="D52" s="36">
        <v>475</v>
      </c>
      <c r="E52" s="17">
        <v>4</v>
      </c>
      <c r="F52" s="17">
        <v>16</v>
      </c>
      <c r="G52" s="17">
        <v>2</v>
      </c>
      <c r="H52" s="17">
        <v>0</v>
      </c>
      <c r="I52" s="18">
        <v>0</v>
      </c>
      <c r="J52" s="24">
        <f>IF(COUNTBLANK(B52)=1,"",COUNTIF(B$10:B51,B52))</f>
        <v>1</v>
      </c>
      <c r="K52" s="25">
        <f t="shared" si="5"/>
        <v>4</v>
      </c>
      <c r="L52" s="26">
        <f t="shared" si="7"/>
        <v>4.2666666666666666</v>
      </c>
      <c r="M52" s="27">
        <f t="shared" si="8"/>
        <v>40</v>
      </c>
      <c r="N52" s="27">
        <f t="shared" si="9"/>
        <v>44.1</v>
      </c>
      <c r="O52" s="27">
        <f t="shared" si="10"/>
        <v>287.52907024642849</v>
      </c>
      <c r="P52" s="46">
        <f t="shared" si="6"/>
        <v>300</v>
      </c>
      <c r="Q52" s="31">
        <f t="shared" si="11"/>
        <v>35145.349502668541</v>
      </c>
    </row>
    <row r="53" spans="1:17" x14ac:dyDescent="0.25">
      <c r="A53" s="14" t="s">
        <v>54</v>
      </c>
      <c r="B53" s="15" t="s">
        <v>104</v>
      </c>
      <c r="C53" s="16">
        <v>37959</v>
      </c>
      <c r="D53" s="36">
        <v>125</v>
      </c>
      <c r="E53" s="17">
        <v>1</v>
      </c>
      <c r="F53" s="17">
        <v>11</v>
      </c>
      <c r="G53" s="17">
        <v>1</v>
      </c>
      <c r="H53" s="17">
        <v>0</v>
      </c>
      <c r="I53" s="18">
        <v>0</v>
      </c>
      <c r="J53" s="24">
        <f>IF(COUNTBLANK(B53)=1,"",COUNTIF(B$10:B52,B53))</f>
        <v>2</v>
      </c>
      <c r="K53" s="25">
        <f t="shared" si="5"/>
        <v>4</v>
      </c>
      <c r="L53" s="26">
        <f t="shared" si="7"/>
        <v>1.1833333333333333</v>
      </c>
      <c r="M53" s="27">
        <f t="shared" si="8"/>
        <v>40</v>
      </c>
      <c r="N53" s="27">
        <f t="shared" si="9"/>
        <v>42</v>
      </c>
      <c r="O53" s="27">
        <f t="shared" si="10"/>
        <v>148.69999999999999</v>
      </c>
      <c r="P53" s="46">
        <f t="shared" si="6"/>
        <v>150</v>
      </c>
      <c r="Q53" s="31">
        <f t="shared" si="11"/>
        <v>561.68999999999949</v>
      </c>
    </row>
    <row r="54" spans="1:17" x14ac:dyDescent="0.25">
      <c r="A54" s="14" t="s">
        <v>55</v>
      </c>
      <c r="B54" s="15" t="s">
        <v>113</v>
      </c>
      <c r="C54" s="16">
        <v>37980</v>
      </c>
      <c r="D54" s="36">
        <v>275</v>
      </c>
      <c r="E54" s="17">
        <v>2</v>
      </c>
      <c r="F54" s="17">
        <v>17</v>
      </c>
      <c r="G54" s="17">
        <v>4</v>
      </c>
      <c r="H54" s="17">
        <v>0</v>
      </c>
      <c r="I54" s="18">
        <v>0</v>
      </c>
      <c r="J54" s="24">
        <f>IF(COUNTBLANK(B54)=1,"",COUNTIF(B$10:B53,B54))</f>
        <v>1</v>
      </c>
      <c r="K54" s="25">
        <f t="shared" si="5"/>
        <v>4</v>
      </c>
      <c r="L54" s="26">
        <f t="shared" si="7"/>
        <v>2.2833333333333332</v>
      </c>
      <c r="M54" s="27">
        <f t="shared" si="8"/>
        <v>40</v>
      </c>
      <c r="N54" s="27">
        <f t="shared" si="9"/>
        <v>48.620249999999999</v>
      </c>
      <c r="O54" s="27">
        <f t="shared" si="10"/>
        <v>210.38530774642854</v>
      </c>
      <c r="P54" s="46">
        <f t="shared" si="6"/>
        <v>200</v>
      </c>
      <c r="Q54" s="31">
        <f t="shared" si="11"/>
        <v>4175.0584550237481</v>
      </c>
    </row>
    <row r="55" spans="1:17" x14ac:dyDescent="0.25">
      <c r="A55" s="14" t="s">
        <v>56</v>
      </c>
      <c r="B55" s="15" t="s">
        <v>105</v>
      </c>
      <c r="C55" s="16">
        <v>38000</v>
      </c>
      <c r="D55" s="36">
        <v>525</v>
      </c>
      <c r="E55" s="17">
        <v>5</v>
      </c>
      <c r="F55" s="17">
        <v>9</v>
      </c>
      <c r="G55" s="17">
        <v>1</v>
      </c>
      <c r="H55" s="17">
        <v>0</v>
      </c>
      <c r="I55" s="18">
        <v>0</v>
      </c>
      <c r="J55" s="24">
        <f>IF(COUNTBLANK(B55)=1,"",COUNTIF(B$10:B54,B55))</f>
        <v>5</v>
      </c>
      <c r="K55" s="25">
        <f t="shared" si="5"/>
        <v>4</v>
      </c>
      <c r="L55" s="26">
        <f t="shared" si="7"/>
        <v>5.15</v>
      </c>
      <c r="M55" s="27">
        <f t="shared" si="8"/>
        <v>40</v>
      </c>
      <c r="N55" s="27">
        <f t="shared" si="9"/>
        <v>42</v>
      </c>
      <c r="O55" s="27">
        <f t="shared" si="10"/>
        <v>314.66907024642853</v>
      </c>
      <c r="P55" s="46">
        <f t="shared" si="6"/>
        <v>325</v>
      </c>
      <c r="Q55" s="31">
        <f t="shared" si="11"/>
        <v>44239.100011001814</v>
      </c>
    </row>
    <row r="56" spans="1:17" x14ac:dyDescent="0.25">
      <c r="A56" s="14" t="s">
        <v>57</v>
      </c>
      <c r="B56" s="15" t="s">
        <v>113</v>
      </c>
      <c r="C56" s="16">
        <v>38038</v>
      </c>
      <c r="D56" s="36">
        <v>275</v>
      </c>
      <c r="E56" s="17">
        <v>2</v>
      </c>
      <c r="F56" s="17">
        <v>37</v>
      </c>
      <c r="G56" s="17">
        <v>1</v>
      </c>
      <c r="H56" s="17">
        <v>0</v>
      </c>
      <c r="I56" s="18">
        <v>0</v>
      </c>
      <c r="J56" s="24">
        <f>IF(COUNTBLANK(B56)=1,"",COUNTIF(B$10:B55,B56))</f>
        <v>2</v>
      </c>
      <c r="K56" s="25">
        <f t="shared" si="5"/>
        <v>4</v>
      </c>
      <c r="L56" s="26">
        <f t="shared" si="7"/>
        <v>2.6166666666666667</v>
      </c>
      <c r="M56" s="27">
        <f t="shared" si="8"/>
        <v>40</v>
      </c>
      <c r="N56" s="27">
        <f t="shared" si="9"/>
        <v>42</v>
      </c>
      <c r="O56" s="27">
        <f t="shared" si="10"/>
        <v>208.9</v>
      </c>
      <c r="P56" s="46">
        <f t="shared" si="6"/>
        <v>200</v>
      </c>
      <c r="Q56" s="31">
        <f t="shared" si="11"/>
        <v>4369.2099999999991</v>
      </c>
    </row>
    <row r="57" spans="1:17" x14ac:dyDescent="0.25">
      <c r="A57" s="14" t="s">
        <v>22</v>
      </c>
      <c r="B57" s="15" t="s">
        <v>102</v>
      </c>
      <c r="C57" s="16">
        <v>38066</v>
      </c>
      <c r="D57" s="36">
        <v>100</v>
      </c>
      <c r="E57" s="17">
        <v>1</v>
      </c>
      <c r="F57" s="17">
        <v>55</v>
      </c>
      <c r="G57" s="17">
        <v>1</v>
      </c>
      <c r="H57" s="17">
        <v>1</v>
      </c>
      <c r="I57" s="18">
        <v>0</v>
      </c>
      <c r="J57" s="24">
        <f>IF(COUNTBLANK(B57)=1,"",COUNTIF(B$10:B56,B57))</f>
        <v>3</v>
      </c>
      <c r="K57" s="25">
        <f t="shared" si="5"/>
        <v>4</v>
      </c>
      <c r="L57" s="26">
        <f t="shared" si="7"/>
        <v>1.9166666666666665</v>
      </c>
      <c r="M57" s="27">
        <f t="shared" si="8"/>
        <v>40</v>
      </c>
      <c r="N57" s="27">
        <f t="shared" si="9"/>
        <v>21</v>
      </c>
      <c r="O57" s="27">
        <f t="shared" si="10"/>
        <v>138.9881404928571</v>
      </c>
      <c r="P57" s="46">
        <f t="shared" si="6"/>
        <v>150</v>
      </c>
      <c r="Q57" s="31">
        <f t="shared" si="11"/>
        <v>1520.0750990907634</v>
      </c>
    </row>
    <row r="58" spans="1:17" x14ac:dyDescent="0.25">
      <c r="A58" s="14" t="s">
        <v>23</v>
      </c>
      <c r="B58" s="15" t="s">
        <v>117</v>
      </c>
      <c r="C58" s="16">
        <v>38077</v>
      </c>
      <c r="D58" s="36">
        <v>100</v>
      </c>
      <c r="E58" s="17">
        <v>1</v>
      </c>
      <c r="F58" s="17">
        <v>50</v>
      </c>
      <c r="G58" s="17">
        <v>1</v>
      </c>
      <c r="H58" s="17">
        <v>1</v>
      </c>
      <c r="I58" s="18">
        <v>0</v>
      </c>
      <c r="J58" s="24">
        <f>IF(COUNTBLANK(B58)=1,"",COUNTIF(B$10:B57,B58))</f>
        <v>0</v>
      </c>
      <c r="K58" s="25">
        <f t="shared" si="5"/>
        <v>4</v>
      </c>
      <c r="L58" s="26">
        <f t="shared" si="7"/>
        <v>1.8333333333333335</v>
      </c>
      <c r="M58" s="27">
        <f t="shared" si="8"/>
        <v>40</v>
      </c>
      <c r="N58" s="27">
        <f t="shared" si="9"/>
        <v>21</v>
      </c>
      <c r="O58" s="27">
        <f t="shared" si="10"/>
        <v>138.5</v>
      </c>
      <c r="P58" s="46">
        <f t="shared" si="6"/>
        <v>150</v>
      </c>
      <c r="Q58" s="31">
        <f t="shared" si="11"/>
        <v>1482.25</v>
      </c>
    </row>
    <row r="59" spans="1:17" x14ac:dyDescent="0.25">
      <c r="A59" s="14" t="s">
        <v>24</v>
      </c>
      <c r="B59" s="15" t="s">
        <v>114</v>
      </c>
      <c r="C59" s="16">
        <v>38129</v>
      </c>
      <c r="D59" s="36">
        <v>200</v>
      </c>
      <c r="E59" s="17">
        <v>3</v>
      </c>
      <c r="F59" s="17">
        <v>42</v>
      </c>
      <c r="G59" s="17">
        <v>2</v>
      </c>
      <c r="H59" s="17">
        <v>1</v>
      </c>
      <c r="I59" s="18">
        <v>0</v>
      </c>
      <c r="J59" s="24">
        <f>IF(COUNTBLANK(B59)=1,"",COUNTIF(B$10:B58,B59))</f>
        <v>1</v>
      </c>
      <c r="K59" s="25">
        <f t="shared" si="5"/>
        <v>4</v>
      </c>
      <c r="L59" s="26">
        <f t="shared" si="7"/>
        <v>3.7</v>
      </c>
      <c r="M59" s="27">
        <f t="shared" si="8"/>
        <v>40</v>
      </c>
      <c r="N59" s="27">
        <f t="shared" si="9"/>
        <v>22.05</v>
      </c>
      <c r="O59" s="27">
        <f t="shared" si="10"/>
        <v>180.95407024642856</v>
      </c>
      <c r="P59" s="46">
        <f t="shared" si="6"/>
        <v>175</v>
      </c>
      <c r="Q59" s="31">
        <f t="shared" si="11"/>
        <v>362.74744017797798</v>
      </c>
    </row>
    <row r="60" spans="1:17" x14ac:dyDescent="0.25">
      <c r="A60" s="14" t="s">
        <v>25</v>
      </c>
      <c r="B60" s="15" t="s">
        <v>108</v>
      </c>
      <c r="C60" s="16">
        <v>38187</v>
      </c>
      <c r="D60" s="36">
        <v>200</v>
      </c>
      <c r="E60" s="17">
        <v>3</v>
      </c>
      <c r="F60" s="17">
        <v>36</v>
      </c>
      <c r="G60" s="17">
        <v>2</v>
      </c>
      <c r="H60" s="17">
        <v>1</v>
      </c>
      <c r="I60" s="18">
        <v>0</v>
      </c>
      <c r="J60" s="24">
        <f>IF(COUNTBLANK(B60)=1,"",COUNTIF(B$10:B59,B60))</f>
        <v>2</v>
      </c>
      <c r="K60" s="25">
        <f t="shared" si="5"/>
        <v>4</v>
      </c>
      <c r="L60" s="26">
        <f t="shared" si="7"/>
        <v>3.6</v>
      </c>
      <c r="M60" s="27">
        <f t="shared" si="8"/>
        <v>40</v>
      </c>
      <c r="N60" s="27">
        <f t="shared" si="9"/>
        <v>22.05</v>
      </c>
      <c r="O60" s="27">
        <f t="shared" si="10"/>
        <v>178.38</v>
      </c>
      <c r="P60" s="46">
        <f t="shared" si="6"/>
        <v>175</v>
      </c>
      <c r="Q60" s="31">
        <f t="shared" si="11"/>
        <v>467.42440000000022</v>
      </c>
    </row>
    <row r="61" spans="1:17" x14ac:dyDescent="0.25">
      <c r="A61" s="14" t="s">
        <v>26</v>
      </c>
      <c r="B61" s="15" t="s">
        <v>115</v>
      </c>
      <c r="C61" s="16">
        <v>38240</v>
      </c>
      <c r="D61" s="36">
        <v>175</v>
      </c>
      <c r="E61" s="17">
        <v>2</v>
      </c>
      <c r="F61" s="17">
        <v>57</v>
      </c>
      <c r="G61" s="17">
        <v>3</v>
      </c>
      <c r="H61" s="17">
        <v>1</v>
      </c>
      <c r="I61" s="18">
        <v>0</v>
      </c>
      <c r="J61" s="24">
        <f>IF(COUNTBLANK(B61)=1,"",COUNTIF(B$10:B60,B61))</f>
        <v>1</v>
      </c>
      <c r="K61" s="25">
        <f t="shared" si="5"/>
        <v>5</v>
      </c>
      <c r="L61" s="26">
        <f t="shared" si="7"/>
        <v>2.95</v>
      </c>
      <c r="M61" s="27">
        <f t="shared" si="8"/>
        <v>44</v>
      </c>
      <c r="N61" s="27">
        <f t="shared" si="9"/>
        <v>25.467750000000002</v>
      </c>
      <c r="O61" s="27">
        <f t="shared" si="10"/>
        <v>174.49893274642855</v>
      </c>
      <c r="P61" s="46">
        <f t="shared" si="6"/>
        <v>175</v>
      </c>
      <c r="Q61" s="31">
        <f t="shared" si="11"/>
        <v>0.25106839260163488</v>
      </c>
    </row>
    <row r="62" spans="1:17" x14ac:dyDescent="0.25">
      <c r="A62" s="14" t="s">
        <v>58</v>
      </c>
      <c r="B62" s="15" t="s">
        <v>107</v>
      </c>
      <c r="C62" s="16">
        <v>38266</v>
      </c>
      <c r="D62" s="36">
        <v>525</v>
      </c>
      <c r="E62" s="17">
        <v>4</v>
      </c>
      <c r="F62" s="17">
        <v>3</v>
      </c>
      <c r="G62" s="17">
        <v>4</v>
      </c>
      <c r="H62" s="17">
        <v>0</v>
      </c>
      <c r="I62" s="18">
        <v>1</v>
      </c>
      <c r="J62" s="24">
        <f>IF(COUNTBLANK(B62)=1,"",COUNTIF(B$10:B61,B62))</f>
        <v>1</v>
      </c>
      <c r="K62" s="25">
        <f t="shared" si="5"/>
        <v>5</v>
      </c>
      <c r="L62" s="26">
        <f t="shared" si="7"/>
        <v>4.05</v>
      </c>
      <c r="M62" s="27">
        <f t="shared" si="8"/>
        <v>52</v>
      </c>
      <c r="N62" s="27">
        <f t="shared" si="9"/>
        <v>63.206325</v>
      </c>
      <c r="O62" s="27">
        <f t="shared" si="10"/>
        <v>355.35468649642854</v>
      </c>
      <c r="P62" s="46">
        <f t="shared" si="6"/>
        <v>350</v>
      </c>
      <c r="Q62" s="31">
        <f t="shared" si="11"/>
        <v>28779.532393725043</v>
      </c>
    </row>
    <row r="63" spans="1:17" x14ac:dyDescent="0.25">
      <c r="A63" s="14" t="s">
        <v>59</v>
      </c>
      <c r="B63" s="15" t="s">
        <v>115</v>
      </c>
      <c r="C63" s="16">
        <v>38290</v>
      </c>
      <c r="D63" s="36">
        <v>650</v>
      </c>
      <c r="E63" s="17">
        <v>5</v>
      </c>
      <c r="F63" s="17">
        <v>38</v>
      </c>
      <c r="G63" s="17">
        <v>3</v>
      </c>
      <c r="H63" s="17">
        <v>0</v>
      </c>
      <c r="I63" s="18">
        <v>0</v>
      </c>
      <c r="J63" s="24">
        <f>IF(COUNTBLANK(B63)=1,"",COUNTIF(B$10:B62,B63))</f>
        <v>2</v>
      </c>
      <c r="K63" s="25">
        <f t="shared" si="5"/>
        <v>5</v>
      </c>
      <c r="L63" s="26">
        <f t="shared" si="7"/>
        <v>5.6333333333333329</v>
      </c>
      <c r="M63" s="27">
        <f t="shared" si="8"/>
        <v>44</v>
      </c>
      <c r="N63" s="27">
        <f t="shared" si="9"/>
        <v>50.935500000000005</v>
      </c>
      <c r="O63" s="27">
        <f t="shared" si="10"/>
        <v>385.93664999999999</v>
      </c>
      <c r="P63" s="46">
        <f t="shared" si="6"/>
        <v>375</v>
      </c>
      <c r="Q63" s="31">
        <f t="shared" si="11"/>
        <v>69729.45281322251</v>
      </c>
    </row>
    <row r="64" spans="1:17" x14ac:dyDescent="0.25">
      <c r="A64" s="14" t="s">
        <v>60</v>
      </c>
      <c r="B64" s="15" t="s">
        <v>102</v>
      </c>
      <c r="C64" s="16">
        <v>38348</v>
      </c>
      <c r="D64" s="36">
        <v>325</v>
      </c>
      <c r="E64" s="17">
        <v>2</v>
      </c>
      <c r="F64" s="17">
        <v>46</v>
      </c>
      <c r="G64" s="17">
        <v>4</v>
      </c>
      <c r="H64" s="17">
        <v>0</v>
      </c>
      <c r="I64" s="18">
        <v>0</v>
      </c>
      <c r="J64" s="24">
        <f>IF(COUNTBLANK(B64)=1,"",COUNTIF(B$10:B63,B64))</f>
        <v>4</v>
      </c>
      <c r="K64" s="25">
        <f t="shared" si="5"/>
        <v>5</v>
      </c>
      <c r="L64" s="26">
        <f t="shared" si="7"/>
        <v>2.7666666666666666</v>
      </c>
      <c r="M64" s="27">
        <f t="shared" si="8"/>
        <v>44</v>
      </c>
      <c r="N64" s="27">
        <f t="shared" si="9"/>
        <v>53.482275000000001</v>
      </c>
      <c r="O64" s="27">
        <f t="shared" si="10"/>
        <v>246.50265397928206</v>
      </c>
      <c r="P64" s="46">
        <f t="shared" si="6"/>
        <v>250</v>
      </c>
      <c r="Q64" s="31">
        <f t="shared" si="11"/>
        <v>6161.8333322963226</v>
      </c>
    </row>
    <row r="65" spans="1:17" x14ac:dyDescent="0.25">
      <c r="A65" s="14" t="s">
        <v>61</v>
      </c>
      <c r="B65" s="15" t="s">
        <v>115</v>
      </c>
      <c r="C65" s="16">
        <v>38382</v>
      </c>
      <c r="D65" s="36">
        <v>300</v>
      </c>
      <c r="E65" s="17">
        <v>3</v>
      </c>
      <c r="F65" s="17">
        <v>4</v>
      </c>
      <c r="G65" s="17">
        <v>1</v>
      </c>
      <c r="H65" s="17">
        <v>0</v>
      </c>
      <c r="I65" s="18">
        <v>0</v>
      </c>
      <c r="J65" s="24">
        <f>IF(COUNTBLANK(B65)=1,"",COUNTIF(B$10:B64,B65))</f>
        <v>3</v>
      </c>
      <c r="K65" s="25">
        <f t="shared" si="5"/>
        <v>5</v>
      </c>
      <c r="L65" s="26">
        <f t="shared" si="7"/>
        <v>3.0666666666666669</v>
      </c>
      <c r="M65" s="27">
        <f t="shared" si="8"/>
        <v>44</v>
      </c>
      <c r="N65" s="27">
        <f t="shared" si="9"/>
        <v>46.2</v>
      </c>
      <c r="O65" s="27">
        <f t="shared" si="10"/>
        <v>240.41814049285711</v>
      </c>
      <c r="P65" s="46">
        <f t="shared" si="6"/>
        <v>250</v>
      </c>
      <c r="Q65" s="31">
        <f t="shared" si="11"/>
        <v>3549.9979823289141</v>
      </c>
    </row>
    <row r="66" spans="1:17" x14ac:dyDescent="0.25">
      <c r="A66" s="14" t="s">
        <v>62</v>
      </c>
      <c r="B66" s="15" t="s">
        <v>111</v>
      </c>
      <c r="C66" s="16">
        <v>38415</v>
      </c>
      <c r="D66" s="36">
        <v>250</v>
      </c>
      <c r="E66" s="17">
        <v>2</v>
      </c>
      <c r="F66" s="17">
        <v>9</v>
      </c>
      <c r="G66" s="17">
        <v>4</v>
      </c>
      <c r="H66" s="17">
        <v>0</v>
      </c>
      <c r="I66" s="18">
        <v>0</v>
      </c>
      <c r="J66" s="24">
        <f>IF(COUNTBLANK(B66)=1,"",COUNTIF(B$10:B65,B66))</f>
        <v>1</v>
      </c>
      <c r="K66" s="25">
        <f t="shared" si="5"/>
        <v>5</v>
      </c>
      <c r="L66" s="26">
        <f t="shared" si="7"/>
        <v>2.15</v>
      </c>
      <c r="M66" s="27">
        <f t="shared" si="8"/>
        <v>44</v>
      </c>
      <c r="N66" s="27">
        <f t="shared" si="9"/>
        <v>53.482275000000001</v>
      </c>
      <c r="O66" s="27">
        <f t="shared" si="10"/>
        <v>214.35596149642853</v>
      </c>
      <c r="P66" s="46">
        <f t="shared" si="6"/>
        <v>225</v>
      </c>
      <c r="Q66" s="31">
        <f t="shared" si="11"/>
        <v>1270.4974808440852</v>
      </c>
    </row>
    <row r="67" spans="1:17" x14ac:dyDescent="0.25">
      <c r="A67" s="14" t="s">
        <v>63</v>
      </c>
      <c r="B67" s="15" t="s">
        <v>116</v>
      </c>
      <c r="C67" s="16">
        <v>38467</v>
      </c>
      <c r="D67" s="36">
        <v>275</v>
      </c>
      <c r="E67" s="17">
        <v>2</v>
      </c>
      <c r="F67" s="17">
        <v>24</v>
      </c>
      <c r="G67" s="17">
        <v>3</v>
      </c>
      <c r="H67" s="17">
        <v>0</v>
      </c>
      <c r="I67" s="18">
        <v>0</v>
      </c>
      <c r="J67" s="24">
        <f>IF(COUNTBLANK(B67)=1,"",COUNTIF(B$10:B66,B67))</f>
        <v>2</v>
      </c>
      <c r="K67" s="25">
        <f t="shared" si="5"/>
        <v>5</v>
      </c>
      <c r="L67" s="26">
        <f t="shared" si="7"/>
        <v>2.4</v>
      </c>
      <c r="M67" s="27">
        <f t="shared" si="8"/>
        <v>44</v>
      </c>
      <c r="N67" s="27">
        <f t="shared" si="9"/>
        <v>50.935500000000005</v>
      </c>
      <c r="O67" s="27">
        <f t="shared" si="10"/>
        <v>221.24520000000001</v>
      </c>
      <c r="P67" s="46">
        <f t="shared" si="6"/>
        <v>225</v>
      </c>
      <c r="Q67" s="31">
        <f t="shared" si="11"/>
        <v>2889.5785230399988</v>
      </c>
    </row>
    <row r="68" spans="1:17" x14ac:dyDescent="0.25">
      <c r="A68" s="14" t="s">
        <v>64</v>
      </c>
      <c r="B68" s="15" t="s">
        <v>100</v>
      </c>
      <c r="C68" s="16">
        <v>38500</v>
      </c>
      <c r="D68" s="36">
        <v>250</v>
      </c>
      <c r="E68" s="17">
        <v>2</v>
      </c>
      <c r="F68" s="17">
        <v>8</v>
      </c>
      <c r="G68" s="17">
        <v>3</v>
      </c>
      <c r="H68" s="17">
        <v>0</v>
      </c>
      <c r="I68" s="18">
        <v>0</v>
      </c>
      <c r="J68" s="24">
        <f>IF(COUNTBLANK(B68)=1,"",COUNTIF(B$10:B67,B68))</f>
        <v>2</v>
      </c>
      <c r="K68" s="25">
        <f t="shared" si="5"/>
        <v>5</v>
      </c>
      <c r="L68" s="26">
        <f t="shared" si="7"/>
        <v>2.1333333333333333</v>
      </c>
      <c r="M68" s="27">
        <f t="shared" si="8"/>
        <v>44</v>
      </c>
      <c r="N68" s="27">
        <f t="shared" si="9"/>
        <v>50.935500000000005</v>
      </c>
      <c r="O68" s="27">
        <f t="shared" si="10"/>
        <v>207.66239999999999</v>
      </c>
      <c r="P68" s="46">
        <f t="shared" si="6"/>
        <v>200</v>
      </c>
      <c r="Q68" s="31">
        <f t="shared" si="11"/>
        <v>1792.4723737600007</v>
      </c>
    </row>
    <row r="69" spans="1:17" x14ac:dyDescent="0.25">
      <c r="A69" s="14" t="s">
        <v>65</v>
      </c>
      <c r="B69" s="15" t="s">
        <v>109</v>
      </c>
      <c r="C69" s="16">
        <v>38549</v>
      </c>
      <c r="D69" s="36">
        <v>225</v>
      </c>
      <c r="E69" s="17">
        <v>2</v>
      </c>
      <c r="F69" s="17">
        <v>19</v>
      </c>
      <c r="G69" s="17">
        <v>1</v>
      </c>
      <c r="H69" s="17">
        <v>0</v>
      </c>
      <c r="I69" s="18">
        <v>0</v>
      </c>
      <c r="J69" s="24">
        <f>IF(COUNTBLANK(B69)=1,"",COUNTIF(B$10:B68,B69))</f>
        <v>4</v>
      </c>
      <c r="K69" s="25">
        <f t="shared" si="5"/>
        <v>5</v>
      </c>
      <c r="L69" s="26">
        <f t="shared" si="7"/>
        <v>2.3166666666666664</v>
      </c>
      <c r="M69" s="27">
        <f t="shared" si="8"/>
        <v>44</v>
      </c>
      <c r="N69" s="27">
        <f t="shared" si="9"/>
        <v>46.2</v>
      </c>
      <c r="O69" s="27">
        <f t="shared" si="10"/>
        <v>205.56502647928207</v>
      </c>
      <c r="P69" s="46">
        <f t="shared" si="6"/>
        <v>200</v>
      </c>
      <c r="Q69" s="31">
        <f t="shared" si="11"/>
        <v>377.71819575100716</v>
      </c>
    </row>
    <row r="70" spans="1:17" x14ac:dyDescent="0.25">
      <c r="A70" s="14" t="s">
        <v>66</v>
      </c>
      <c r="B70" s="15" t="s">
        <v>108</v>
      </c>
      <c r="C70" s="16">
        <v>38599</v>
      </c>
      <c r="D70" s="36">
        <v>575</v>
      </c>
      <c r="E70" s="17">
        <v>5</v>
      </c>
      <c r="F70" s="17">
        <v>40</v>
      </c>
      <c r="G70" s="17">
        <v>1</v>
      </c>
      <c r="H70" s="17">
        <v>0</v>
      </c>
      <c r="I70" s="18">
        <v>0</v>
      </c>
      <c r="J70" s="24">
        <f>IF(COUNTBLANK(B70)=1,"",COUNTIF(B$10:B69,B70))</f>
        <v>3</v>
      </c>
      <c r="K70" s="25">
        <f t="shared" si="5"/>
        <v>6</v>
      </c>
      <c r="L70" s="26">
        <f t="shared" si="7"/>
        <v>5.666666666666667</v>
      </c>
      <c r="M70" s="27">
        <f t="shared" si="8"/>
        <v>48</v>
      </c>
      <c r="N70" s="27">
        <f t="shared" si="9"/>
        <v>50.400000000000006</v>
      </c>
      <c r="O70" s="27">
        <f t="shared" si="10"/>
        <v>384.33814049285712</v>
      </c>
      <c r="P70" s="46">
        <f t="shared" si="6"/>
        <v>375</v>
      </c>
      <c r="Q70" s="31">
        <f t="shared" si="11"/>
        <v>36351.944670721488</v>
      </c>
    </row>
    <row r="71" spans="1:17" x14ac:dyDescent="0.25">
      <c r="A71" s="14" t="s">
        <v>67</v>
      </c>
      <c r="B71" s="15" t="s">
        <v>100</v>
      </c>
      <c r="C71" s="16">
        <v>38639</v>
      </c>
      <c r="D71" s="36">
        <v>125</v>
      </c>
      <c r="E71" s="17">
        <v>1</v>
      </c>
      <c r="F71" s="17">
        <v>16</v>
      </c>
      <c r="G71" s="17">
        <v>1</v>
      </c>
      <c r="H71" s="17">
        <v>0</v>
      </c>
      <c r="I71" s="18">
        <v>0</v>
      </c>
      <c r="J71" s="24">
        <f>IF(COUNTBLANK(B71)=1,"",COUNTIF(B$10:B70,B71))</f>
        <v>3</v>
      </c>
      <c r="K71" s="25">
        <f t="shared" si="5"/>
        <v>6</v>
      </c>
      <c r="L71" s="26">
        <f t="shared" si="7"/>
        <v>1.2666666666666666</v>
      </c>
      <c r="M71" s="27">
        <f t="shared" si="8"/>
        <v>48</v>
      </c>
      <c r="N71" s="27">
        <f t="shared" si="9"/>
        <v>50.400000000000006</v>
      </c>
      <c r="O71" s="27">
        <f t="shared" si="10"/>
        <v>162.5781404928571</v>
      </c>
      <c r="P71" s="46">
        <f t="shared" si="6"/>
        <v>175</v>
      </c>
      <c r="Q71" s="31">
        <f t="shared" si="11"/>
        <v>1412.1166429009065</v>
      </c>
    </row>
    <row r="72" spans="1:17" x14ac:dyDescent="0.25">
      <c r="A72" s="14" t="s">
        <v>68</v>
      </c>
      <c r="B72" s="15" t="s">
        <v>118</v>
      </c>
      <c r="C72" s="16">
        <v>38688</v>
      </c>
      <c r="D72" s="36">
        <v>250</v>
      </c>
      <c r="E72" s="17">
        <v>2</v>
      </c>
      <c r="F72" s="17">
        <v>23</v>
      </c>
      <c r="G72" s="17">
        <v>2</v>
      </c>
      <c r="H72" s="17">
        <v>0</v>
      </c>
      <c r="I72" s="18">
        <v>0</v>
      </c>
      <c r="J72" s="24">
        <f>IF(COUNTBLANK(B72)=1,"",COUNTIF(B$10:B71,B72))</f>
        <v>0</v>
      </c>
      <c r="K72" s="25">
        <f t="shared" si="5"/>
        <v>6</v>
      </c>
      <c r="L72" s="26">
        <f t="shared" si="7"/>
        <v>2.3833333333333333</v>
      </c>
      <c r="M72" s="27">
        <f t="shared" si="8"/>
        <v>48</v>
      </c>
      <c r="N72" s="27">
        <f t="shared" si="9"/>
        <v>52.92</v>
      </c>
      <c r="O72" s="27">
        <f t="shared" si="10"/>
        <v>226.126</v>
      </c>
      <c r="P72" s="46">
        <f t="shared" si="6"/>
        <v>225</v>
      </c>
      <c r="Q72" s="31">
        <f t="shared" si="11"/>
        <v>569.96787599999982</v>
      </c>
    </row>
    <row r="73" spans="1:17" x14ac:dyDescent="0.25">
      <c r="A73" s="14" t="s">
        <v>69</v>
      </c>
      <c r="B73" s="15" t="s">
        <v>109</v>
      </c>
      <c r="C73" s="16">
        <v>38737</v>
      </c>
      <c r="D73" s="36">
        <v>575</v>
      </c>
      <c r="E73" s="17">
        <v>5</v>
      </c>
      <c r="F73" s="17">
        <v>44</v>
      </c>
      <c r="G73" s="17">
        <v>1</v>
      </c>
      <c r="H73" s="17">
        <v>0</v>
      </c>
      <c r="I73" s="18">
        <v>0</v>
      </c>
      <c r="J73" s="24">
        <f>IF(COUNTBLANK(B73)=1,"",COUNTIF(B$10:B72,B73))</f>
        <v>5</v>
      </c>
      <c r="K73" s="25">
        <f t="shared" si="5"/>
        <v>6</v>
      </c>
      <c r="L73" s="26">
        <f t="shared" si="7"/>
        <v>5.7333333333333334</v>
      </c>
      <c r="M73" s="27">
        <f t="shared" si="8"/>
        <v>48</v>
      </c>
      <c r="N73" s="27">
        <f t="shared" si="9"/>
        <v>50.400000000000006</v>
      </c>
      <c r="O73" s="27">
        <f t="shared" si="10"/>
        <v>387.32907024642856</v>
      </c>
      <c r="P73" s="46">
        <f t="shared" si="6"/>
        <v>375</v>
      </c>
      <c r="Q73" s="31">
        <f t="shared" si="11"/>
        <v>35220.377874569946</v>
      </c>
    </row>
    <row r="74" spans="1:17" x14ac:dyDescent="0.25">
      <c r="A74" s="14" t="s">
        <v>70</v>
      </c>
      <c r="B74" s="15" t="s">
        <v>107</v>
      </c>
      <c r="C74" s="16">
        <v>38763</v>
      </c>
      <c r="D74" s="36">
        <v>375</v>
      </c>
      <c r="E74" s="17">
        <v>3</v>
      </c>
      <c r="F74" s="17">
        <v>46</v>
      </c>
      <c r="G74" s="17">
        <v>1</v>
      </c>
      <c r="H74" s="17">
        <v>0</v>
      </c>
      <c r="I74" s="18">
        <v>0</v>
      </c>
      <c r="J74" s="24">
        <f>IF(COUNTBLANK(B74)=1,"",COUNTIF(B$10:B73,B74))</f>
        <v>2</v>
      </c>
      <c r="K74" s="25">
        <f t="shared" si="5"/>
        <v>6</v>
      </c>
      <c r="L74" s="26">
        <f t="shared" si="7"/>
        <v>3.7666666666666666</v>
      </c>
      <c r="M74" s="27">
        <f t="shared" si="8"/>
        <v>48</v>
      </c>
      <c r="N74" s="27">
        <f t="shared" si="9"/>
        <v>50.400000000000006</v>
      </c>
      <c r="O74" s="27">
        <f t="shared" si="10"/>
        <v>288.84000000000003</v>
      </c>
      <c r="P74" s="46">
        <f t="shared" si="6"/>
        <v>300</v>
      </c>
      <c r="Q74" s="31">
        <f t="shared" si="11"/>
        <v>7423.5455999999949</v>
      </c>
    </row>
    <row r="75" spans="1:17" x14ac:dyDescent="0.25">
      <c r="A75" s="14" t="s">
        <v>69</v>
      </c>
      <c r="B75" s="15" t="s">
        <v>100</v>
      </c>
      <c r="C75" s="16">
        <v>38779</v>
      </c>
      <c r="D75" s="36">
        <v>300</v>
      </c>
      <c r="E75" s="17">
        <v>4</v>
      </c>
      <c r="F75" s="17">
        <v>53</v>
      </c>
      <c r="G75" s="17">
        <v>3</v>
      </c>
      <c r="H75" s="17">
        <v>1</v>
      </c>
      <c r="I75" s="18">
        <v>1</v>
      </c>
      <c r="J75" s="24">
        <f>IF(COUNTBLANK(B75)=1,"",COUNTIF(B$10:B74,B75))</f>
        <v>4</v>
      </c>
      <c r="K75" s="25">
        <f t="shared" si="5"/>
        <v>6</v>
      </c>
      <c r="L75" s="26">
        <f t="shared" ref="L75:L110" si="12">IF(E75+(F75/60)=0,"",E75+(F75/60))</f>
        <v>4.8833333333333329</v>
      </c>
      <c r="M75" s="27">
        <f t="shared" ref="M75:M110" si="13">IFERROR($B$5+($B$4*K75)+($B$3*I75),"")</f>
        <v>56</v>
      </c>
      <c r="N75" s="27">
        <f t="shared" ref="N75:N106" si="14">IFERROR(M75*($B$1^G75)/($B$2+H75),"")</f>
        <v>32.413500000000006</v>
      </c>
      <c r="O75" s="27">
        <f t="shared" ref="O75:O106" si="15">IFERROR($B$6+(N75*L75)+($B$7*LOG(1+J75,(1/3))),"")</f>
        <v>256.82095147928209</v>
      </c>
      <c r="P75" s="46">
        <f t="shared" si="6"/>
        <v>250</v>
      </c>
      <c r="Q75" s="31">
        <f t="shared" ref="Q75:Q110" si="16">(D75-O75)^2</f>
        <v>1864.4302311545118</v>
      </c>
    </row>
    <row r="76" spans="1:17" x14ac:dyDescent="0.25">
      <c r="A76" s="14" t="s">
        <v>70</v>
      </c>
      <c r="B76" s="15" t="s">
        <v>111</v>
      </c>
      <c r="C76" s="16">
        <v>38801</v>
      </c>
      <c r="D76" s="36">
        <v>50</v>
      </c>
      <c r="E76" s="17">
        <v>1</v>
      </c>
      <c r="F76" s="17">
        <v>4</v>
      </c>
      <c r="G76" s="17">
        <v>3</v>
      </c>
      <c r="H76" s="17">
        <v>1</v>
      </c>
      <c r="I76" s="18">
        <v>0</v>
      </c>
      <c r="J76" s="24">
        <f>IF(COUNTBLANK(B76)=1,"",COUNTIF(B$10:B75,B76))</f>
        <v>2</v>
      </c>
      <c r="K76" s="25">
        <f t="shared" ref="K76:K110" si="17">IF(ROUND(DAYS360(C$11,C76,TRUE)/365,0)&lt;0,"",ROUND(DAYS360(C$11,C76,TRUE)/365,0))</f>
        <v>6</v>
      </c>
      <c r="L76" s="26">
        <f t="shared" si="12"/>
        <v>1.0666666666666667</v>
      </c>
      <c r="M76" s="27">
        <f t="shared" si="13"/>
        <v>48</v>
      </c>
      <c r="N76" s="27">
        <f t="shared" si="14"/>
        <v>27.783000000000001</v>
      </c>
      <c r="O76" s="27">
        <f t="shared" si="15"/>
        <v>128.6352</v>
      </c>
      <c r="P76" s="46">
        <f t="shared" ref="P76:P109" si="18">IFERROR(ROUND(O76/25,0)*25,"")</f>
        <v>125</v>
      </c>
      <c r="Q76" s="31">
        <f t="shared" si="16"/>
        <v>6183.4946790399999</v>
      </c>
    </row>
    <row r="77" spans="1:17" x14ac:dyDescent="0.25">
      <c r="A77" s="14" t="s">
        <v>24</v>
      </c>
      <c r="B77" s="15" t="s">
        <v>101</v>
      </c>
      <c r="C77" s="16">
        <v>38819</v>
      </c>
      <c r="D77" s="36">
        <v>50</v>
      </c>
      <c r="E77" s="17">
        <v>1</v>
      </c>
      <c r="F77" s="17">
        <v>33</v>
      </c>
      <c r="G77" s="17">
        <v>1</v>
      </c>
      <c r="H77" s="17">
        <v>1</v>
      </c>
      <c r="I77" s="18">
        <v>0</v>
      </c>
      <c r="J77" s="24">
        <f>IF(COUNTBLANK(B77)=1,"",COUNTIF(B$10:B76,B77))</f>
        <v>8</v>
      </c>
      <c r="K77" s="25">
        <f t="shared" si="17"/>
        <v>6</v>
      </c>
      <c r="L77" s="26">
        <f t="shared" si="12"/>
        <v>1.55</v>
      </c>
      <c r="M77" s="27">
        <f t="shared" si="13"/>
        <v>48</v>
      </c>
      <c r="N77" s="27">
        <f t="shared" si="14"/>
        <v>25.200000000000003</v>
      </c>
      <c r="O77" s="27">
        <f t="shared" si="15"/>
        <v>137.06</v>
      </c>
      <c r="P77" s="46">
        <f t="shared" si="18"/>
        <v>125</v>
      </c>
      <c r="Q77" s="31">
        <f t="shared" si="16"/>
        <v>7579.4436000000005</v>
      </c>
    </row>
    <row r="78" spans="1:17" x14ac:dyDescent="0.25">
      <c r="A78" s="14" t="s">
        <v>71</v>
      </c>
      <c r="B78" s="15" t="s">
        <v>117</v>
      </c>
      <c r="C78" s="16">
        <v>38868</v>
      </c>
      <c r="D78" s="36">
        <v>300</v>
      </c>
      <c r="E78" s="17">
        <v>2</v>
      </c>
      <c r="F78" s="17">
        <v>53</v>
      </c>
      <c r="G78" s="17">
        <v>1</v>
      </c>
      <c r="H78" s="17">
        <v>0</v>
      </c>
      <c r="I78" s="18">
        <v>0</v>
      </c>
      <c r="J78" s="24">
        <f>IF(COUNTBLANK(B78)=1,"",COUNTIF(B$10:B77,B78))</f>
        <v>1</v>
      </c>
      <c r="K78" s="25">
        <f t="shared" si="17"/>
        <v>6</v>
      </c>
      <c r="L78" s="26">
        <f t="shared" si="12"/>
        <v>2.8833333333333333</v>
      </c>
      <c r="M78" s="27">
        <f t="shared" si="13"/>
        <v>48</v>
      </c>
      <c r="N78" s="27">
        <f t="shared" si="14"/>
        <v>50.400000000000006</v>
      </c>
      <c r="O78" s="27">
        <f t="shared" si="15"/>
        <v>244.68907024642857</v>
      </c>
      <c r="P78" s="46">
        <f t="shared" si="18"/>
        <v>250</v>
      </c>
      <c r="Q78" s="31">
        <f t="shared" si="16"/>
        <v>3059.2989502045134</v>
      </c>
    </row>
    <row r="79" spans="1:17" x14ac:dyDescent="0.25">
      <c r="A79" s="14" t="s">
        <v>72</v>
      </c>
      <c r="B79" s="15" t="s">
        <v>118</v>
      </c>
      <c r="C79" s="16">
        <v>38910</v>
      </c>
      <c r="D79" s="36">
        <v>575</v>
      </c>
      <c r="E79" s="17">
        <v>5</v>
      </c>
      <c r="F79" s="17">
        <v>27</v>
      </c>
      <c r="G79" s="17">
        <v>1</v>
      </c>
      <c r="H79" s="17">
        <v>0</v>
      </c>
      <c r="I79" s="18">
        <v>0</v>
      </c>
      <c r="J79" s="24">
        <f>IF(COUNTBLANK(B79)=1,"",COUNTIF(B$10:B78,B79))</f>
        <v>1</v>
      </c>
      <c r="K79" s="25">
        <f t="shared" si="17"/>
        <v>6</v>
      </c>
      <c r="L79" s="26">
        <f t="shared" si="12"/>
        <v>5.45</v>
      </c>
      <c r="M79" s="27">
        <f t="shared" si="13"/>
        <v>48</v>
      </c>
      <c r="N79" s="27">
        <f t="shared" si="14"/>
        <v>50.400000000000006</v>
      </c>
      <c r="O79" s="27">
        <f t="shared" si="15"/>
        <v>374.04907024642858</v>
      </c>
      <c r="P79" s="46">
        <f t="shared" si="18"/>
        <v>375</v>
      </c>
      <c r="Q79" s="31">
        <f t="shared" si="16"/>
        <v>40381.276168824792</v>
      </c>
    </row>
    <row r="80" spans="1:17" x14ac:dyDescent="0.25">
      <c r="A80" s="14" t="s">
        <v>73</v>
      </c>
      <c r="B80" s="15" t="s">
        <v>114</v>
      </c>
      <c r="C80" s="16">
        <v>38941</v>
      </c>
      <c r="D80" s="36">
        <v>200</v>
      </c>
      <c r="E80" s="17">
        <v>1</v>
      </c>
      <c r="F80" s="17">
        <v>45</v>
      </c>
      <c r="G80" s="17">
        <v>3</v>
      </c>
      <c r="H80" s="17">
        <v>0</v>
      </c>
      <c r="I80" s="18">
        <v>0</v>
      </c>
      <c r="J80" s="24">
        <f>IF(COUNTBLANK(B80)=1,"",COUNTIF(B$10:B79,B80))</f>
        <v>2</v>
      </c>
      <c r="K80" s="25">
        <f t="shared" si="17"/>
        <v>7</v>
      </c>
      <c r="L80" s="26">
        <f t="shared" si="12"/>
        <v>1.75</v>
      </c>
      <c r="M80" s="27">
        <f t="shared" si="13"/>
        <v>52</v>
      </c>
      <c r="N80" s="27">
        <f t="shared" si="14"/>
        <v>60.196500000000007</v>
      </c>
      <c r="O80" s="27">
        <f t="shared" si="15"/>
        <v>204.34387500000003</v>
      </c>
      <c r="P80" s="46">
        <f t="shared" si="18"/>
        <v>200</v>
      </c>
      <c r="Q80" s="31">
        <f t="shared" si="16"/>
        <v>18.869250015625223</v>
      </c>
    </row>
    <row r="81" spans="1:17" x14ac:dyDescent="0.25">
      <c r="A81" s="14" t="s">
        <v>74</v>
      </c>
      <c r="B81" s="15" t="s">
        <v>111</v>
      </c>
      <c r="C81" s="16">
        <v>38970</v>
      </c>
      <c r="D81" s="36">
        <v>325</v>
      </c>
      <c r="E81" s="17">
        <v>3</v>
      </c>
      <c r="F81" s="17">
        <v>12</v>
      </c>
      <c r="G81" s="17">
        <v>1</v>
      </c>
      <c r="H81" s="17">
        <v>0</v>
      </c>
      <c r="I81" s="18">
        <v>0</v>
      </c>
      <c r="J81" s="24">
        <f>IF(COUNTBLANK(B81)=1,"",COUNTIF(B$10:B80,B81))</f>
        <v>3</v>
      </c>
      <c r="K81" s="25">
        <f t="shared" si="17"/>
        <v>7</v>
      </c>
      <c r="L81" s="26">
        <f t="shared" si="12"/>
        <v>3.2</v>
      </c>
      <c r="M81" s="27">
        <f t="shared" si="13"/>
        <v>52</v>
      </c>
      <c r="N81" s="27">
        <f t="shared" si="14"/>
        <v>54.6</v>
      </c>
      <c r="O81" s="27">
        <f t="shared" si="15"/>
        <v>273.45814049285713</v>
      </c>
      <c r="P81" s="46">
        <f t="shared" si="18"/>
        <v>275</v>
      </c>
      <c r="Q81" s="31">
        <f t="shared" si="16"/>
        <v>2656.563281454054</v>
      </c>
    </row>
    <row r="82" spans="1:17" x14ac:dyDescent="0.25">
      <c r="A82" s="14" t="s">
        <v>75</v>
      </c>
      <c r="B82" s="15" t="s">
        <v>115</v>
      </c>
      <c r="C82" s="16">
        <v>38986</v>
      </c>
      <c r="D82" s="36">
        <v>400</v>
      </c>
      <c r="E82" s="17">
        <v>3</v>
      </c>
      <c r="F82" s="17">
        <v>30</v>
      </c>
      <c r="G82" s="17">
        <v>2</v>
      </c>
      <c r="H82" s="17">
        <v>0</v>
      </c>
      <c r="I82" s="18">
        <v>1</v>
      </c>
      <c r="J82" s="24">
        <f>IF(COUNTBLANK(B82)=1,"",COUNTIF(B$10:B81,B82))</f>
        <v>4</v>
      </c>
      <c r="K82" s="25">
        <f t="shared" si="17"/>
        <v>7</v>
      </c>
      <c r="L82" s="26">
        <f t="shared" si="12"/>
        <v>3.5</v>
      </c>
      <c r="M82" s="27">
        <f t="shared" si="13"/>
        <v>60</v>
      </c>
      <c r="N82" s="27">
        <f t="shared" si="14"/>
        <v>66.150000000000006</v>
      </c>
      <c r="O82" s="27">
        <f t="shared" si="15"/>
        <v>330.0600264792821</v>
      </c>
      <c r="P82" s="46">
        <f t="shared" si="18"/>
        <v>325</v>
      </c>
      <c r="Q82" s="31">
        <f t="shared" si="16"/>
        <v>4891.599896078721</v>
      </c>
    </row>
    <row r="83" spans="1:17" x14ac:dyDescent="0.25">
      <c r="A83" s="14" t="s">
        <v>76</v>
      </c>
      <c r="B83" s="15" t="s">
        <v>104</v>
      </c>
      <c r="C83" s="16">
        <v>39003</v>
      </c>
      <c r="D83" s="36">
        <v>600</v>
      </c>
      <c r="E83" s="17">
        <v>5</v>
      </c>
      <c r="F83" s="17">
        <v>15</v>
      </c>
      <c r="G83" s="17">
        <v>3</v>
      </c>
      <c r="H83" s="17">
        <v>0</v>
      </c>
      <c r="I83" s="18">
        <v>0</v>
      </c>
      <c r="J83" s="24">
        <f>IF(COUNTBLANK(B83)=1,"",COUNTIF(B$10:B82,B83))</f>
        <v>3</v>
      </c>
      <c r="K83" s="25">
        <f t="shared" si="17"/>
        <v>7</v>
      </c>
      <c r="L83" s="26">
        <f t="shared" si="12"/>
        <v>5.25</v>
      </c>
      <c r="M83" s="27">
        <f t="shared" si="13"/>
        <v>52</v>
      </c>
      <c r="N83" s="27">
        <f t="shared" si="14"/>
        <v>60.196500000000007</v>
      </c>
      <c r="O83" s="27">
        <f t="shared" si="15"/>
        <v>414.76976549285712</v>
      </c>
      <c r="P83" s="46">
        <f t="shared" si="18"/>
        <v>425</v>
      </c>
      <c r="Q83" s="31">
        <f t="shared" si="16"/>
        <v>34310.239775571143</v>
      </c>
    </row>
    <row r="84" spans="1:17" x14ac:dyDescent="0.25">
      <c r="A84" s="14" t="s">
        <v>77</v>
      </c>
      <c r="B84" s="15" t="s">
        <v>100</v>
      </c>
      <c r="C84" s="16">
        <v>39062</v>
      </c>
      <c r="D84" s="36">
        <v>550</v>
      </c>
      <c r="E84" s="17">
        <v>5</v>
      </c>
      <c r="F84" s="17">
        <v>30</v>
      </c>
      <c r="G84" s="17">
        <v>1</v>
      </c>
      <c r="H84" s="17">
        <v>0</v>
      </c>
      <c r="I84" s="18">
        <v>0</v>
      </c>
      <c r="J84" s="24">
        <f>IF(COUNTBLANK(B84)=1,"",COUNTIF(B$10:B83,B84))</f>
        <v>5</v>
      </c>
      <c r="K84" s="25">
        <f t="shared" si="17"/>
        <v>7</v>
      </c>
      <c r="L84" s="26">
        <f t="shared" si="12"/>
        <v>5.5</v>
      </c>
      <c r="M84" s="27">
        <f t="shared" si="13"/>
        <v>52</v>
      </c>
      <c r="N84" s="27">
        <f t="shared" si="14"/>
        <v>54.6</v>
      </c>
      <c r="O84" s="27">
        <f t="shared" si="15"/>
        <v>398.66907024642853</v>
      </c>
      <c r="P84" s="46">
        <f t="shared" si="18"/>
        <v>400</v>
      </c>
      <c r="Q84" s="31">
        <f t="shared" si="16"/>
        <v>22901.050300080384</v>
      </c>
    </row>
    <row r="85" spans="1:17" x14ac:dyDescent="0.25">
      <c r="A85" s="14" t="s">
        <v>78</v>
      </c>
      <c r="B85" s="15" t="s">
        <v>104</v>
      </c>
      <c r="C85" s="16">
        <v>39074</v>
      </c>
      <c r="D85" s="36">
        <v>275</v>
      </c>
      <c r="E85" s="17">
        <v>2</v>
      </c>
      <c r="F85" s="17">
        <v>49</v>
      </c>
      <c r="G85" s="17">
        <v>1</v>
      </c>
      <c r="H85" s="17">
        <v>0</v>
      </c>
      <c r="I85" s="18">
        <v>0</v>
      </c>
      <c r="J85" s="24">
        <f>IF(COUNTBLANK(B85)=1,"",COUNTIF(B$10:B84,B85))</f>
        <v>4</v>
      </c>
      <c r="K85" s="25">
        <f t="shared" si="17"/>
        <v>7</v>
      </c>
      <c r="L85" s="26">
        <f t="shared" si="12"/>
        <v>2.8166666666666664</v>
      </c>
      <c r="M85" s="27">
        <f t="shared" si="13"/>
        <v>52</v>
      </c>
      <c r="N85" s="27">
        <f t="shared" si="14"/>
        <v>54.6</v>
      </c>
      <c r="O85" s="27">
        <f t="shared" si="15"/>
        <v>252.32502647928206</v>
      </c>
      <c r="P85" s="46">
        <f t="shared" si="18"/>
        <v>250</v>
      </c>
      <c r="Q85" s="31">
        <f t="shared" si="16"/>
        <v>514.1544241652598</v>
      </c>
    </row>
    <row r="86" spans="1:17" x14ac:dyDescent="0.25">
      <c r="A86" s="14" t="s">
        <v>79</v>
      </c>
      <c r="B86" s="15" t="s">
        <v>117</v>
      </c>
      <c r="C86" s="16">
        <v>39122</v>
      </c>
      <c r="D86" s="36">
        <v>350</v>
      </c>
      <c r="E86" s="17">
        <v>3</v>
      </c>
      <c r="F86" s="17">
        <v>31</v>
      </c>
      <c r="G86" s="17">
        <v>1</v>
      </c>
      <c r="H86" s="17">
        <v>0</v>
      </c>
      <c r="I86" s="18">
        <v>0</v>
      </c>
      <c r="J86" s="24">
        <f>IF(COUNTBLANK(B86)=1,"",COUNTIF(B$10:B85,B86))</f>
        <v>2</v>
      </c>
      <c r="K86" s="25">
        <f t="shared" si="17"/>
        <v>7</v>
      </c>
      <c r="L86" s="26">
        <f t="shared" si="12"/>
        <v>3.5166666666666666</v>
      </c>
      <c r="M86" s="27">
        <f t="shared" si="13"/>
        <v>52</v>
      </c>
      <c r="N86" s="27">
        <f t="shared" si="14"/>
        <v>54.6</v>
      </c>
      <c r="O86" s="27">
        <f t="shared" si="15"/>
        <v>291.01</v>
      </c>
      <c r="P86" s="46">
        <f t="shared" si="18"/>
        <v>300</v>
      </c>
      <c r="Q86" s="31">
        <f t="shared" si="16"/>
        <v>3479.8201000000013</v>
      </c>
    </row>
    <row r="87" spans="1:17" x14ac:dyDescent="0.25">
      <c r="A87" s="14" t="s">
        <v>80</v>
      </c>
      <c r="B87" s="15" t="s">
        <v>112</v>
      </c>
      <c r="C87" s="16">
        <v>39141</v>
      </c>
      <c r="D87" s="36">
        <v>300</v>
      </c>
      <c r="E87" s="17">
        <v>2</v>
      </c>
      <c r="F87" s="17">
        <v>57</v>
      </c>
      <c r="G87" s="17">
        <v>1</v>
      </c>
      <c r="H87" s="17">
        <v>0</v>
      </c>
      <c r="I87" s="18">
        <v>0</v>
      </c>
      <c r="J87" s="24">
        <f>IF(COUNTBLANK(B87)=1,"",COUNTIF(B$10:B86,B87))</f>
        <v>2</v>
      </c>
      <c r="K87" s="25">
        <f t="shared" si="17"/>
        <v>7</v>
      </c>
      <c r="L87" s="26">
        <f t="shared" si="12"/>
        <v>2.95</v>
      </c>
      <c r="M87" s="27">
        <f t="shared" si="13"/>
        <v>52</v>
      </c>
      <c r="N87" s="27">
        <f t="shared" si="14"/>
        <v>54.6</v>
      </c>
      <c r="O87" s="27">
        <f t="shared" si="15"/>
        <v>260.07000000000005</v>
      </c>
      <c r="P87" s="46">
        <f t="shared" si="18"/>
        <v>250</v>
      </c>
      <c r="Q87" s="31">
        <f t="shared" si="16"/>
        <v>1594.4048999999959</v>
      </c>
    </row>
    <row r="88" spans="1:17" x14ac:dyDescent="0.25">
      <c r="A88" s="14" t="s">
        <v>81</v>
      </c>
      <c r="B88" s="15" t="s">
        <v>117</v>
      </c>
      <c r="C88" s="16">
        <v>39192</v>
      </c>
      <c r="D88" s="36">
        <v>475</v>
      </c>
      <c r="E88" s="17">
        <v>4</v>
      </c>
      <c r="F88" s="17">
        <v>11</v>
      </c>
      <c r="G88" s="17">
        <v>1</v>
      </c>
      <c r="H88" s="17">
        <v>0</v>
      </c>
      <c r="I88" s="18">
        <v>1</v>
      </c>
      <c r="J88" s="24">
        <f>IF(COUNTBLANK(B88)=1,"",COUNTIF(B$10:B87,B88))</f>
        <v>3</v>
      </c>
      <c r="K88" s="25">
        <f t="shared" si="17"/>
        <v>7</v>
      </c>
      <c r="L88" s="26">
        <f t="shared" si="12"/>
        <v>4.1833333333333336</v>
      </c>
      <c r="M88" s="27">
        <f t="shared" si="13"/>
        <v>60</v>
      </c>
      <c r="N88" s="27">
        <f t="shared" si="14"/>
        <v>63</v>
      </c>
      <c r="O88" s="27">
        <f t="shared" si="15"/>
        <v>362.28814049285711</v>
      </c>
      <c r="P88" s="46">
        <f t="shared" si="18"/>
        <v>350</v>
      </c>
      <c r="Q88" s="31">
        <f t="shared" si="16"/>
        <v>12703.963273557916</v>
      </c>
    </row>
    <row r="89" spans="1:17" x14ac:dyDescent="0.25">
      <c r="A89" s="14" t="s">
        <v>82</v>
      </c>
      <c r="B89" s="15" t="s">
        <v>110</v>
      </c>
      <c r="C89" s="16">
        <v>39235</v>
      </c>
      <c r="D89" s="36">
        <v>375</v>
      </c>
      <c r="E89" s="17">
        <v>3</v>
      </c>
      <c r="F89" s="17">
        <v>31</v>
      </c>
      <c r="G89" s="17">
        <v>2</v>
      </c>
      <c r="H89" s="17">
        <v>0</v>
      </c>
      <c r="I89" s="18">
        <v>0</v>
      </c>
      <c r="J89" s="24">
        <f>IF(COUNTBLANK(B89)=1,"",COUNTIF(B$10:B88,B89))</f>
        <v>3</v>
      </c>
      <c r="K89" s="25">
        <f t="shared" si="17"/>
        <v>7</v>
      </c>
      <c r="L89" s="26">
        <f t="shared" si="12"/>
        <v>3.5166666666666666</v>
      </c>
      <c r="M89" s="27">
        <f t="shared" si="13"/>
        <v>52</v>
      </c>
      <c r="N89" s="27">
        <f t="shared" si="14"/>
        <v>57.33</v>
      </c>
      <c r="O89" s="27">
        <f t="shared" si="15"/>
        <v>300.3486404928571</v>
      </c>
      <c r="P89" s="46">
        <f t="shared" si="18"/>
        <v>300</v>
      </c>
      <c r="Q89" s="31">
        <f t="shared" si="16"/>
        <v>5572.8254762646948</v>
      </c>
    </row>
    <row r="90" spans="1:17" x14ac:dyDescent="0.25">
      <c r="A90" s="14" t="s">
        <v>83</v>
      </c>
      <c r="B90" s="15" t="s">
        <v>105</v>
      </c>
      <c r="C90" s="16">
        <v>39251</v>
      </c>
      <c r="D90" s="36">
        <v>175</v>
      </c>
      <c r="E90" s="17">
        <v>1</v>
      </c>
      <c r="F90" s="17">
        <v>46</v>
      </c>
      <c r="G90" s="17">
        <v>1</v>
      </c>
      <c r="H90" s="17">
        <v>0</v>
      </c>
      <c r="I90" s="18">
        <v>1</v>
      </c>
      <c r="J90" s="24">
        <f>IF(COUNTBLANK(B90)=1,"",COUNTIF(B$10:B89,B90))</f>
        <v>6</v>
      </c>
      <c r="K90" s="25">
        <f t="shared" si="17"/>
        <v>7</v>
      </c>
      <c r="L90" s="26">
        <f t="shared" si="12"/>
        <v>1.7666666666666666</v>
      </c>
      <c r="M90" s="27">
        <f t="shared" si="13"/>
        <v>60</v>
      </c>
      <c r="N90" s="27">
        <f t="shared" si="14"/>
        <v>63</v>
      </c>
      <c r="O90" s="27">
        <f t="shared" si="15"/>
        <v>209.5287562508386</v>
      </c>
      <c r="P90" s="46">
        <f t="shared" si="18"/>
        <v>200</v>
      </c>
      <c r="Q90" s="31">
        <f t="shared" si="16"/>
        <v>1192.2350082298256</v>
      </c>
    </row>
    <row r="91" spans="1:17" x14ac:dyDescent="0.25">
      <c r="A91" s="14" t="s">
        <v>82</v>
      </c>
      <c r="B91" s="15" t="s">
        <v>110</v>
      </c>
      <c r="C91" s="16">
        <v>39283</v>
      </c>
      <c r="D91" s="36">
        <v>300</v>
      </c>
      <c r="E91" s="17">
        <v>4</v>
      </c>
      <c r="F91" s="17">
        <v>58</v>
      </c>
      <c r="G91" s="17">
        <v>3</v>
      </c>
      <c r="H91" s="17">
        <v>1</v>
      </c>
      <c r="I91" s="18">
        <v>1</v>
      </c>
      <c r="J91" s="24">
        <f>IF(COUNTBLANK(B91)=1,"",COUNTIF(B$10:B90,B91))</f>
        <v>4</v>
      </c>
      <c r="K91" s="25">
        <f t="shared" si="17"/>
        <v>7</v>
      </c>
      <c r="L91" s="26">
        <f t="shared" si="12"/>
        <v>4.9666666666666668</v>
      </c>
      <c r="M91" s="27">
        <f t="shared" si="13"/>
        <v>60</v>
      </c>
      <c r="N91" s="27">
        <f t="shared" si="14"/>
        <v>34.728750000000005</v>
      </c>
      <c r="O91" s="27">
        <f t="shared" si="15"/>
        <v>271.02115147928208</v>
      </c>
      <c r="P91" s="46">
        <f t="shared" si="18"/>
        <v>275</v>
      </c>
      <c r="Q91" s="31">
        <f t="shared" si="16"/>
        <v>839.77366158671509</v>
      </c>
    </row>
    <row r="92" spans="1:17" x14ac:dyDescent="0.25">
      <c r="A92" s="14" t="s">
        <v>26</v>
      </c>
      <c r="B92" s="15" t="s">
        <v>119</v>
      </c>
      <c r="C92" s="16">
        <v>39342</v>
      </c>
      <c r="D92" s="36">
        <v>175</v>
      </c>
      <c r="E92" s="17">
        <v>3</v>
      </c>
      <c r="F92" s="17">
        <v>19</v>
      </c>
      <c r="G92" s="17">
        <v>1</v>
      </c>
      <c r="H92" s="17">
        <v>1</v>
      </c>
      <c r="I92" s="18">
        <v>0</v>
      </c>
      <c r="J92" s="24">
        <f>IF(COUNTBLANK(B92)=1,"",COUNTIF(B$10:B91,B92))</f>
        <v>0</v>
      </c>
      <c r="K92" s="25">
        <f t="shared" si="17"/>
        <v>8</v>
      </c>
      <c r="L92" s="26">
        <f t="shared" si="12"/>
        <v>3.3166666666666664</v>
      </c>
      <c r="M92" s="27">
        <f t="shared" si="13"/>
        <v>56</v>
      </c>
      <c r="N92" s="27">
        <f t="shared" si="14"/>
        <v>29.400000000000002</v>
      </c>
      <c r="O92" s="27">
        <f t="shared" si="15"/>
        <v>197.51</v>
      </c>
      <c r="P92" s="46">
        <f t="shared" si="18"/>
        <v>200</v>
      </c>
      <c r="Q92" s="31">
        <f t="shared" si="16"/>
        <v>506.70009999999957</v>
      </c>
    </row>
    <row r="93" spans="1:17" x14ac:dyDescent="0.25">
      <c r="A93" s="14" t="s">
        <v>26</v>
      </c>
      <c r="B93" s="15" t="s">
        <v>104</v>
      </c>
      <c r="C93" s="16">
        <v>39401</v>
      </c>
      <c r="D93" s="36">
        <v>200</v>
      </c>
      <c r="E93" s="17">
        <v>3</v>
      </c>
      <c r="F93" s="17">
        <v>54</v>
      </c>
      <c r="G93" s="17">
        <v>1</v>
      </c>
      <c r="H93" s="17">
        <v>1</v>
      </c>
      <c r="I93" s="18">
        <v>0</v>
      </c>
      <c r="J93" s="24">
        <f>IF(COUNTBLANK(B93)=1,"",COUNTIF(B$10:B92,B93))</f>
        <v>5</v>
      </c>
      <c r="K93" s="25">
        <f t="shared" si="17"/>
        <v>8</v>
      </c>
      <c r="L93" s="26">
        <f t="shared" si="12"/>
        <v>3.9</v>
      </c>
      <c r="M93" s="27">
        <f t="shared" si="13"/>
        <v>56</v>
      </c>
      <c r="N93" s="27">
        <f t="shared" si="14"/>
        <v>29.400000000000002</v>
      </c>
      <c r="O93" s="27">
        <f t="shared" si="15"/>
        <v>213.02907024642857</v>
      </c>
      <c r="P93" s="46">
        <f t="shared" si="18"/>
        <v>225</v>
      </c>
      <c r="Q93" s="31">
        <f t="shared" si="16"/>
        <v>169.75667148637035</v>
      </c>
    </row>
    <row r="94" spans="1:17" x14ac:dyDescent="0.25">
      <c r="A94" s="14" t="s">
        <v>27</v>
      </c>
      <c r="B94" s="15" t="s">
        <v>110</v>
      </c>
      <c r="C94" s="16">
        <v>39432</v>
      </c>
      <c r="D94" s="36">
        <v>250</v>
      </c>
      <c r="E94" s="17">
        <v>4</v>
      </c>
      <c r="F94" s="17">
        <v>59</v>
      </c>
      <c r="G94" s="17">
        <v>1</v>
      </c>
      <c r="H94" s="17">
        <v>1</v>
      </c>
      <c r="I94" s="18">
        <v>0</v>
      </c>
      <c r="J94" s="24">
        <f>IF(COUNTBLANK(B94)=1,"",COUNTIF(B$10:B93,B94))</f>
        <v>5</v>
      </c>
      <c r="K94" s="25">
        <f t="shared" si="17"/>
        <v>8</v>
      </c>
      <c r="L94" s="26">
        <f t="shared" si="12"/>
        <v>4.9833333333333334</v>
      </c>
      <c r="M94" s="27">
        <f t="shared" si="13"/>
        <v>56</v>
      </c>
      <c r="N94" s="27">
        <f t="shared" si="14"/>
        <v>29.400000000000002</v>
      </c>
      <c r="O94" s="27">
        <f t="shared" si="15"/>
        <v>244.87907024642857</v>
      </c>
      <c r="P94" s="46">
        <f t="shared" si="18"/>
        <v>250</v>
      </c>
      <c r="Q94" s="31">
        <f t="shared" si="16"/>
        <v>26.223921541013159</v>
      </c>
    </row>
    <row r="95" spans="1:17" x14ac:dyDescent="0.25">
      <c r="A95" s="14" t="s">
        <v>28</v>
      </c>
      <c r="B95" s="15" t="s">
        <v>112</v>
      </c>
      <c r="C95" s="16">
        <v>39448</v>
      </c>
      <c r="D95" s="36">
        <v>50</v>
      </c>
      <c r="E95" s="17">
        <v>1</v>
      </c>
      <c r="F95" s="17">
        <v>8</v>
      </c>
      <c r="G95" s="17">
        <v>1</v>
      </c>
      <c r="H95" s="17">
        <v>1</v>
      </c>
      <c r="I95" s="18">
        <v>0</v>
      </c>
      <c r="J95" s="24">
        <f>IF(COUNTBLANK(B95)=1,"",COUNTIF(B$10:B94,B95))</f>
        <v>3</v>
      </c>
      <c r="K95" s="25">
        <f t="shared" si="17"/>
        <v>8</v>
      </c>
      <c r="L95" s="26">
        <f t="shared" si="12"/>
        <v>1.1333333333333333</v>
      </c>
      <c r="M95" s="27">
        <f t="shared" si="13"/>
        <v>56</v>
      </c>
      <c r="N95" s="27">
        <f t="shared" si="14"/>
        <v>29.400000000000002</v>
      </c>
      <c r="O95" s="27">
        <f t="shared" si="15"/>
        <v>132.05814049285709</v>
      </c>
      <c r="P95" s="46">
        <f t="shared" si="18"/>
        <v>125</v>
      </c>
      <c r="Q95" s="31">
        <f t="shared" si="16"/>
        <v>6733.538421145473</v>
      </c>
    </row>
    <row r="96" spans="1:17" x14ac:dyDescent="0.25">
      <c r="A96" s="14" t="s">
        <v>84</v>
      </c>
      <c r="B96" s="15" t="s">
        <v>114</v>
      </c>
      <c r="C96" s="16">
        <v>39480</v>
      </c>
      <c r="D96" s="36">
        <v>325</v>
      </c>
      <c r="E96" s="17">
        <v>3</v>
      </c>
      <c r="F96" s="17">
        <v>17</v>
      </c>
      <c r="G96" s="17">
        <v>1</v>
      </c>
      <c r="H96" s="17">
        <v>0</v>
      </c>
      <c r="I96" s="18">
        <v>0</v>
      </c>
      <c r="J96" s="24">
        <f>IF(COUNTBLANK(B96)=1,"",COUNTIF(B$10:B95,B96))</f>
        <v>3</v>
      </c>
      <c r="K96" s="25">
        <f t="shared" si="17"/>
        <v>8</v>
      </c>
      <c r="L96" s="26">
        <f t="shared" si="12"/>
        <v>3.2833333333333332</v>
      </c>
      <c r="M96" s="27">
        <f t="shared" si="13"/>
        <v>56</v>
      </c>
      <c r="N96" s="27">
        <f t="shared" si="14"/>
        <v>58.800000000000004</v>
      </c>
      <c r="O96" s="27">
        <f t="shared" si="15"/>
        <v>291.7981404928571</v>
      </c>
      <c r="P96" s="46">
        <f t="shared" si="18"/>
        <v>300</v>
      </c>
      <c r="Q96" s="31">
        <f t="shared" si="16"/>
        <v>1102.3634747320552</v>
      </c>
    </row>
    <row r="97" spans="1:17" x14ac:dyDescent="0.25">
      <c r="A97" s="14" t="s">
        <v>85</v>
      </c>
      <c r="B97" s="15" t="s">
        <v>111</v>
      </c>
      <c r="C97" s="16">
        <v>39521</v>
      </c>
      <c r="D97" s="36">
        <v>575</v>
      </c>
      <c r="E97" s="17">
        <v>5</v>
      </c>
      <c r="F97" s="17">
        <v>42</v>
      </c>
      <c r="G97" s="17">
        <v>1</v>
      </c>
      <c r="H97" s="17">
        <v>0</v>
      </c>
      <c r="I97" s="18">
        <v>0</v>
      </c>
      <c r="J97" s="24">
        <f>IF(COUNTBLANK(B97)=1,"",COUNTIF(B$10:B96,B97))</f>
        <v>4</v>
      </c>
      <c r="K97" s="25">
        <f t="shared" si="17"/>
        <v>8</v>
      </c>
      <c r="L97" s="26">
        <f t="shared" si="12"/>
        <v>5.7</v>
      </c>
      <c r="M97" s="27">
        <f t="shared" si="13"/>
        <v>56</v>
      </c>
      <c r="N97" s="27">
        <f t="shared" si="14"/>
        <v>58.800000000000004</v>
      </c>
      <c r="O97" s="27">
        <f t="shared" si="15"/>
        <v>433.69502647928209</v>
      </c>
      <c r="P97" s="46">
        <f t="shared" si="18"/>
        <v>425</v>
      </c>
      <c r="Q97" s="31">
        <f t="shared" si="16"/>
        <v>19967.095541690789</v>
      </c>
    </row>
    <row r="98" spans="1:17" x14ac:dyDescent="0.25">
      <c r="A98" s="14" t="s">
        <v>86</v>
      </c>
      <c r="B98" s="15" t="s">
        <v>107</v>
      </c>
      <c r="C98" s="16">
        <v>39575</v>
      </c>
      <c r="D98" s="36">
        <v>250</v>
      </c>
      <c r="E98" s="17">
        <v>2</v>
      </c>
      <c r="F98" s="17">
        <v>12</v>
      </c>
      <c r="G98" s="17">
        <v>3</v>
      </c>
      <c r="H98" s="17">
        <v>0</v>
      </c>
      <c r="I98" s="18">
        <v>0</v>
      </c>
      <c r="J98" s="24">
        <f>IF(COUNTBLANK(B98)=1,"",COUNTIF(B$10:B97,B98))</f>
        <v>3</v>
      </c>
      <c r="K98" s="25">
        <f t="shared" si="17"/>
        <v>8</v>
      </c>
      <c r="L98" s="26">
        <f t="shared" si="12"/>
        <v>2.2000000000000002</v>
      </c>
      <c r="M98" s="27">
        <f t="shared" si="13"/>
        <v>56</v>
      </c>
      <c r="N98" s="27">
        <f t="shared" si="14"/>
        <v>64.827000000000012</v>
      </c>
      <c r="O98" s="27">
        <f t="shared" si="15"/>
        <v>241.35754049285714</v>
      </c>
      <c r="P98" s="46">
        <f t="shared" si="18"/>
        <v>250</v>
      </c>
      <c r="Q98" s="31">
        <f t="shared" si="16"/>
        <v>74.692106332603998</v>
      </c>
    </row>
    <row r="99" spans="1:17" x14ac:dyDescent="0.25">
      <c r="A99" s="14" t="s">
        <v>87</v>
      </c>
      <c r="B99" s="15" t="s">
        <v>109</v>
      </c>
      <c r="C99" s="16">
        <v>39591</v>
      </c>
      <c r="D99" s="36">
        <v>225</v>
      </c>
      <c r="E99" s="17">
        <v>2</v>
      </c>
      <c r="F99" s="17">
        <v>12</v>
      </c>
      <c r="G99" s="17">
        <v>3</v>
      </c>
      <c r="H99" s="17">
        <v>0</v>
      </c>
      <c r="I99" s="18">
        <v>0</v>
      </c>
      <c r="J99" s="24">
        <f>IF(COUNTBLANK(B99)=1,"",COUNTIF(B$10:B98,B99))</f>
        <v>6</v>
      </c>
      <c r="K99" s="25">
        <f t="shared" si="17"/>
        <v>8</v>
      </c>
      <c r="L99" s="26">
        <f t="shared" si="12"/>
        <v>2.2000000000000002</v>
      </c>
      <c r="M99" s="27">
        <f t="shared" si="13"/>
        <v>56</v>
      </c>
      <c r="N99" s="27">
        <f t="shared" si="14"/>
        <v>64.827000000000012</v>
      </c>
      <c r="O99" s="27">
        <f t="shared" si="15"/>
        <v>240.84815625083863</v>
      </c>
      <c r="P99" s="46">
        <f t="shared" si="18"/>
        <v>250</v>
      </c>
      <c r="Q99" s="31">
        <f t="shared" si="16"/>
        <v>251.16405655099547</v>
      </c>
    </row>
    <row r="100" spans="1:17" x14ac:dyDescent="0.25">
      <c r="A100" s="14" t="s">
        <v>88</v>
      </c>
      <c r="B100" s="15" t="s">
        <v>107</v>
      </c>
      <c r="C100" s="16">
        <v>39643</v>
      </c>
      <c r="D100" s="36">
        <v>525</v>
      </c>
      <c r="E100" s="17">
        <v>4</v>
      </c>
      <c r="F100" s="17">
        <v>40</v>
      </c>
      <c r="G100" s="17">
        <v>3</v>
      </c>
      <c r="H100" s="17">
        <v>0</v>
      </c>
      <c r="I100" s="18">
        <v>0</v>
      </c>
      <c r="J100" s="24">
        <f>IF(COUNTBLANK(B100)=1,"",COUNTIF(B$10:B99,B100))</f>
        <v>4</v>
      </c>
      <c r="K100" s="25">
        <f t="shared" si="17"/>
        <v>8</v>
      </c>
      <c r="L100" s="26">
        <f t="shared" si="12"/>
        <v>4.666666666666667</v>
      </c>
      <c r="M100" s="27">
        <f t="shared" si="13"/>
        <v>56</v>
      </c>
      <c r="N100" s="27">
        <f t="shared" si="14"/>
        <v>64.827000000000012</v>
      </c>
      <c r="O100" s="27">
        <f t="shared" si="15"/>
        <v>401.06102647928213</v>
      </c>
      <c r="P100" s="46">
        <f t="shared" si="18"/>
        <v>400</v>
      </c>
      <c r="Q100" s="31">
        <f t="shared" si="16"/>
        <v>15360.869157369205</v>
      </c>
    </row>
    <row r="101" spans="1:17" x14ac:dyDescent="0.25">
      <c r="A101" s="14" t="s">
        <v>89</v>
      </c>
      <c r="B101" s="15" t="s">
        <v>119</v>
      </c>
      <c r="C101" s="16">
        <v>39662</v>
      </c>
      <c r="D101" s="36">
        <v>400</v>
      </c>
      <c r="E101" s="17">
        <v>3</v>
      </c>
      <c r="F101" s="17">
        <v>50</v>
      </c>
      <c r="G101" s="17">
        <v>1</v>
      </c>
      <c r="H101" s="17">
        <v>0</v>
      </c>
      <c r="I101" s="18">
        <v>0</v>
      </c>
      <c r="J101" s="24">
        <f>IF(COUNTBLANK(B101)=1,"",COUNTIF(B$10:B100,B101))</f>
        <v>1</v>
      </c>
      <c r="K101" s="25">
        <f t="shared" si="17"/>
        <v>8</v>
      </c>
      <c r="L101" s="26">
        <f t="shared" si="12"/>
        <v>3.8333333333333335</v>
      </c>
      <c r="M101" s="27">
        <f t="shared" si="13"/>
        <v>56</v>
      </c>
      <c r="N101" s="27">
        <f t="shared" si="14"/>
        <v>58.800000000000004</v>
      </c>
      <c r="O101" s="27">
        <f t="shared" si="15"/>
        <v>324.76907024642856</v>
      </c>
      <c r="P101" s="46">
        <f t="shared" si="18"/>
        <v>325</v>
      </c>
      <c r="Q101" s="31">
        <f t="shared" si="16"/>
        <v>5659.6927915868009</v>
      </c>
    </row>
    <row r="102" spans="1:17" x14ac:dyDescent="0.25">
      <c r="A102" s="14" t="s">
        <v>90</v>
      </c>
      <c r="B102" s="15" t="s">
        <v>115</v>
      </c>
      <c r="C102" s="16">
        <v>39706</v>
      </c>
      <c r="D102" s="36">
        <v>650</v>
      </c>
      <c r="E102" s="17">
        <v>5</v>
      </c>
      <c r="F102" s="17">
        <v>54</v>
      </c>
      <c r="G102" s="17">
        <v>1</v>
      </c>
      <c r="H102" s="17">
        <v>0</v>
      </c>
      <c r="I102" s="18">
        <v>1</v>
      </c>
      <c r="J102" s="24">
        <f>IF(COUNTBLANK(B102)=1,"",COUNTIF(B$10:B101,B102))</f>
        <v>5</v>
      </c>
      <c r="K102" s="25">
        <f t="shared" si="17"/>
        <v>9</v>
      </c>
      <c r="L102" s="26">
        <f t="shared" si="12"/>
        <v>5.9</v>
      </c>
      <c r="M102" s="27">
        <f t="shared" si="13"/>
        <v>68</v>
      </c>
      <c r="N102" s="27">
        <f t="shared" si="14"/>
        <v>71.400000000000006</v>
      </c>
      <c r="O102" s="27">
        <f t="shared" si="15"/>
        <v>519.62907024642857</v>
      </c>
      <c r="P102" s="46">
        <f t="shared" si="18"/>
        <v>525</v>
      </c>
      <c r="Q102" s="31">
        <f t="shared" si="16"/>
        <v>16996.579324810657</v>
      </c>
    </row>
    <row r="103" spans="1:17" x14ac:dyDescent="0.25">
      <c r="A103" s="14" t="s">
        <v>91</v>
      </c>
      <c r="B103" s="15" t="s">
        <v>116</v>
      </c>
      <c r="C103" s="16">
        <v>39757</v>
      </c>
      <c r="D103" s="36">
        <v>575</v>
      </c>
      <c r="E103" s="17">
        <v>5</v>
      </c>
      <c r="F103" s="17">
        <v>43</v>
      </c>
      <c r="G103" s="17">
        <v>1</v>
      </c>
      <c r="H103" s="17">
        <v>0</v>
      </c>
      <c r="I103" s="18">
        <v>0</v>
      </c>
      <c r="J103" s="24">
        <f>IF(COUNTBLANK(B103)=1,"",COUNTIF(B$10:B102,B103))</f>
        <v>3</v>
      </c>
      <c r="K103" s="25">
        <f t="shared" si="17"/>
        <v>9</v>
      </c>
      <c r="L103" s="26">
        <f t="shared" si="12"/>
        <v>5.7166666666666668</v>
      </c>
      <c r="M103" s="27">
        <f t="shared" si="13"/>
        <v>60</v>
      </c>
      <c r="N103" s="27">
        <f t="shared" si="14"/>
        <v>63</v>
      </c>
      <c r="O103" s="27">
        <f t="shared" si="15"/>
        <v>458.88814049285713</v>
      </c>
      <c r="P103" s="46">
        <f t="shared" si="18"/>
        <v>450</v>
      </c>
      <c r="Q103" s="31">
        <f t="shared" si="16"/>
        <v>13481.963918206484</v>
      </c>
    </row>
    <row r="104" spans="1:17" x14ac:dyDescent="0.25">
      <c r="A104" s="14" t="s">
        <v>92</v>
      </c>
      <c r="B104" s="15" t="s">
        <v>112</v>
      </c>
      <c r="C104" s="16">
        <v>39776</v>
      </c>
      <c r="D104" s="36">
        <v>150</v>
      </c>
      <c r="E104" s="17">
        <v>1</v>
      </c>
      <c r="F104" s="17">
        <v>22</v>
      </c>
      <c r="G104" s="17">
        <v>2</v>
      </c>
      <c r="H104" s="17">
        <v>0</v>
      </c>
      <c r="I104" s="18">
        <v>1</v>
      </c>
      <c r="J104" s="24">
        <f>IF(COUNTBLANK(B104)=1,"",COUNTIF(B$10:B103,B104))</f>
        <v>4</v>
      </c>
      <c r="K104" s="25">
        <f t="shared" si="17"/>
        <v>9</v>
      </c>
      <c r="L104" s="26">
        <f t="shared" si="12"/>
        <v>1.3666666666666667</v>
      </c>
      <c r="M104" s="27">
        <f t="shared" si="13"/>
        <v>68</v>
      </c>
      <c r="N104" s="27">
        <f t="shared" si="14"/>
        <v>74.97</v>
      </c>
      <c r="O104" s="27">
        <f t="shared" si="15"/>
        <v>200.99402647928207</v>
      </c>
      <c r="P104" s="46">
        <f t="shared" si="18"/>
        <v>200</v>
      </c>
      <c r="Q104" s="31">
        <f t="shared" si="16"/>
        <v>2600.390736569721</v>
      </c>
    </row>
    <row r="105" spans="1:17" x14ac:dyDescent="0.25">
      <c r="A105" s="14" t="s">
        <v>93</v>
      </c>
      <c r="B105" s="15" t="s">
        <v>102</v>
      </c>
      <c r="C105" s="16">
        <v>39804</v>
      </c>
      <c r="D105" s="36">
        <v>325</v>
      </c>
      <c r="E105" s="17">
        <v>3</v>
      </c>
      <c r="F105" s="17">
        <v>13</v>
      </c>
      <c r="G105" s="17">
        <v>2</v>
      </c>
      <c r="H105" s="17">
        <v>0</v>
      </c>
      <c r="I105" s="18">
        <v>0</v>
      </c>
      <c r="J105" s="24">
        <f>IF(COUNTBLANK(B105)=1,"",COUNTIF(B$10:B104,B105))</f>
        <v>5</v>
      </c>
      <c r="K105" s="25">
        <f t="shared" si="17"/>
        <v>9</v>
      </c>
      <c r="L105" s="26">
        <f t="shared" si="12"/>
        <v>3.2166666666666668</v>
      </c>
      <c r="M105" s="27">
        <f t="shared" si="13"/>
        <v>60</v>
      </c>
      <c r="N105" s="27">
        <f t="shared" si="14"/>
        <v>66.150000000000006</v>
      </c>
      <c r="O105" s="27">
        <f t="shared" si="15"/>
        <v>311.15157024642855</v>
      </c>
      <c r="P105" s="46">
        <f t="shared" si="18"/>
        <v>300</v>
      </c>
      <c r="Q105" s="31">
        <f t="shared" si="16"/>
        <v>191.77900663960307</v>
      </c>
    </row>
    <row r="106" spans="1:17" x14ac:dyDescent="0.25">
      <c r="A106" s="14" t="s">
        <v>94</v>
      </c>
      <c r="B106" s="15" t="s">
        <v>115</v>
      </c>
      <c r="C106" s="16">
        <v>39846</v>
      </c>
      <c r="D106" s="36">
        <v>300</v>
      </c>
      <c r="E106" s="17">
        <v>2</v>
      </c>
      <c r="F106" s="17">
        <v>56</v>
      </c>
      <c r="G106" s="17">
        <v>2</v>
      </c>
      <c r="H106" s="17">
        <v>0</v>
      </c>
      <c r="I106" s="18">
        <v>0</v>
      </c>
      <c r="J106" s="24">
        <f>IF(COUNTBLANK(B106)=1,"",COUNTIF(B$10:B105,B106))</f>
        <v>6</v>
      </c>
      <c r="K106" s="25">
        <f t="shared" si="17"/>
        <v>9</v>
      </c>
      <c r="L106" s="26">
        <f t="shared" si="12"/>
        <v>2.9333333333333336</v>
      </c>
      <c r="M106" s="27">
        <f t="shared" si="13"/>
        <v>60</v>
      </c>
      <c r="N106" s="27">
        <f t="shared" si="14"/>
        <v>66.150000000000006</v>
      </c>
      <c r="O106" s="27">
        <f t="shared" si="15"/>
        <v>292.26875625083858</v>
      </c>
      <c r="P106" s="46">
        <f t="shared" si="18"/>
        <v>300</v>
      </c>
      <c r="Q106" s="31">
        <f t="shared" si="16"/>
        <v>59.772129908947562</v>
      </c>
    </row>
    <row r="107" spans="1:17" x14ac:dyDescent="0.25">
      <c r="A107" s="14" t="s">
        <v>95</v>
      </c>
      <c r="B107" s="15" t="s">
        <v>105</v>
      </c>
      <c r="C107" s="16">
        <v>39860</v>
      </c>
      <c r="D107" s="36">
        <v>250</v>
      </c>
      <c r="E107" s="17">
        <v>2</v>
      </c>
      <c r="F107" s="17">
        <v>36</v>
      </c>
      <c r="G107" s="17">
        <v>1</v>
      </c>
      <c r="H107" s="17">
        <v>0</v>
      </c>
      <c r="I107" s="18">
        <v>0</v>
      </c>
      <c r="J107" s="24">
        <f>IF(COUNTBLANK(B107)=1,"",COUNTIF(B$10:B106,B107))</f>
        <v>7</v>
      </c>
      <c r="K107" s="25">
        <f t="shared" si="17"/>
        <v>9</v>
      </c>
      <c r="L107" s="26">
        <f t="shared" si="12"/>
        <v>2.6</v>
      </c>
      <c r="M107" s="27">
        <f t="shared" si="13"/>
        <v>60</v>
      </c>
      <c r="N107" s="27">
        <f t="shared" ref="N107:N138" si="19">IFERROR(M107*($B$1^G107)/($B$2+H107),"")</f>
        <v>63</v>
      </c>
      <c r="O107" s="27">
        <f t="shared" ref="O107:O138" si="20">IFERROR($B$6+(N107*L107)+($B$7*LOG(1+J107,(1/3))),"")</f>
        <v>261.90721073928563</v>
      </c>
      <c r="P107" s="46">
        <f t="shared" si="18"/>
        <v>250</v>
      </c>
      <c r="Q107" s="31">
        <f t="shared" si="16"/>
        <v>141.78166758975905</v>
      </c>
    </row>
    <row r="108" spans="1:17" x14ac:dyDescent="0.25">
      <c r="A108" s="14" t="s">
        <v>96</v>
      </c>
      <c r="B108" s="15" t="s">
        <v>118</v>
      </c>
      <c r="C108" s="16">
        <v>39913</v>
      </c>
      <c r="D108" s="36">
        <v>175</v>
      </c>
      <c r="E108" s="17">
        <v>1</v>
      </c>
      <c r="F108" s="17">
        <v>50</v>
      </c>
      <c r="G108" s="17">
        <v>1</v>
      </c>
      <c r="H108" s="17">
        <v>0</v>
      </c>
      <c r="I108" s="18">
        <v>0</v>
      </c>
      <c r="J108" s="24">
        <f>IF(COUNTBLANK(B108)=1,"",COUNTIF(B$10:B107,B108))</f>
        <v>2</v>
      </c>
      <c r="K108" s="25">
        <f t="shared" si="17"/>
        <v>9</v>
      </c>
      <c r="L108" s="26">
        <f t="shared" si="12"/>
        <v>1.8333333333333335</v>
      </c>
      <c r="M108" s="27">
        <f t="shared" si="13"/>
        <v>60</v>
      </c>
      <c r="N108" s="27">
        <f t="shared" si="19"/>
        <v>63</v>
      </c>
      <c r="O108" s="27">
        <f t="shared" si="20"/>
        <v>214.5</v>
      </c>
      <c r="P108" s="46">
        <f t="shared" si="18"/>
        <v>225</v>
      </c>
      <c r="Q108" s="31">
        <f t="shared" si="16"/>
        <v>1560.25</v>
      </c>
    </row>
    <row r="109" spans="1:17" x14ac:dyDescent="0.25">
      <c r="A109" s="14" t="s">
        <v>95</v>
      </c>
      <c r="B109" s="15" t="s">
        <v>119</v>
      </c>
      <c r="C109" s="16">
        <v>39947</v>
      </c>
      <c r="D109" s="36">
        <v>275</v>
      </c>
      <c r="E109" s="17">
        <v>5</v>
      </c>
      <c r="F109" s="17">
        <v>31</v>
      </c>
      <c r="G109" s="17">
        <v>1</v>
      </c>
      <c r="H109" s="17">
        <v>1</v>
      </c>
      <c r="I109" s="18">
        <v>0</v>
      </c>
      <c r="J109" s="24">
        <f>IF(COUNTBLANK(B109)=1,"",COUNTIF(B$10:B108,B109))</f>
        <v>2</v>
      </c>
      <c r="K109" s="25">
        <f t="shared" si="17"/>
        <v>9</v>
      </c>
      <c r="L109" s="26">
        <f t="shared" si="12"/>
        <v>5.5166666666666666</v>
      </c>
      <c r="M109" s="27">
        <f t="shared" si="13"/>
        <v>60</v>
      </c>
      <c r="N109" s="27">
        <f t="shared" si="19"/>
        <v>31.5</v>
      </c>
      <c r="O109" s="27">
        <f t="shared" si="20"/>
        <v>272.77499999999998</v>
      </c>
      <c r="P109" s="46">
        <f t="shared" si="18"/>
        <v>275</v>
      </c>
      <c r="Q109" s="31">
        <f t="shared" si="16"/>
        <v>4.9506250000001009</v>
      </c>
    </row>
    <row r="110" spans="1:17" x14ac:dyDescent="0.25">
      <c r="A110" s="14" t="s">
        <v>96</v>
      </c>
      <c r="B110" s="15" t="s">
        <v>106</v>
      </c>
      <c r="C110" s="16">
        <v>40002</v>
      </c>
      <c r="D110" s="36">
        <v>300</v>
      </c>
      <c r="E110" s="17">
        <v>5</v>
      </c>
      <c r="F110" s="17">
        <v>5</v>
      </c>
      <c r="G110" s="17">
        <v>3</v>
      </c>
      <c r="H110" s="17">
        <v>1</v>
      </c>
      <c r="I110" s="18">
        <v>0</v>
      </c>
      <c r="J110" s="24">
        <f>IF(COUNTBLANK(B110)=1,"",COUNTIF(B$10:B109,B110))</f>
        <v>1</v>
      </c>
      <c r="K110" s="25">
        <f t="shared" si="17"/>
        <v>9</v>
      </c>
      <c r="L110" s="26">
        <f t="shared" si="12"/>
        <v>5.083333333333333</v>
      </c>
      <c r="M110" s="27">
        <f t="shared" si="13"/>
        <v>60</v>
      </c>
      <c r="N110" s="27">
        <f t="shared" si="19"/>
        <v>34.728750000000005</v>
      </c>
      <c r="O110" s="27">
        <f t="shared" si="20"/>
        <v>275.90688274642855</v>
      </c>
      <c r="P110" s="46">
        <f t="shared" ref="P110" si="21">IFERROR(ROUND(O110/25,0)*25,"")</f>
        <v>275</v>
      </c>
      <c r="Q110" s="31">
        <f t="shared" si="16"/>
        <v>580.47829899434225</v>
      </c>
    </row>
    <row r="111" spans="1:17" x14ac:dyDescent="0.25">
      <c r="Q111" s="31">
        <f>SUM(Q11:Q110)</f>
        <v>1327690.6002065258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showGridLines="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4.28515625" style="88" bestFit="1" customWidth="1"/>
    <col min="2" max="2" width="16.140625" style="50" bestFit="1" customWidth="1"/>
    <col min="3" max="3" width="8" style="48" bestFit="1" customWidth="1"/>
    <col min="4" max="4" width="7" style="48" bestFit="1" customWidth="1"/>
    <col min="5" max="5" width="6" style="49" bestFit="1" customWidth="1"/>
    <col min="6" max="6" width="10" style="51" customWidth="1"/>
    <col min="7" max="7" width="11.140625" bestFit="1" customWidth="1"/>
    <col min="8" max="8" width="5.28515625" bestFit="1" customWidth="1"/>
    <col min="9" max="9" width="9.7109375" style="2" bestFit="1" customWidth="1"/>
    <col min="10" max="10" width="11.140625" style="2" bestFit="1" customWidth="1"/>
    <col min="11" max="11" width="9.5703125" style="2" bestFit="1" customWidth="1"/>
    <col min="12" max="12" width="15.7109375" style="2" bestFit="1" customWidth="1"/>
    <col min="13" max="13" width="8" style="2" bestFit="1" customWidth="1"/>
  </cols>
  <sheetData>
    <row r="1" spans="1:13" s="81" customFormat="1" ht="27" thickBot="1" x14ac:dyDescent="0.3">
      <c r="A1" s="76"/>
      <c r="B1" s="77" t="s">
        <v>17</v>
      </c>
      <c r="C1" s="78" t="s">
        <v>2</v>
      </c>
      <c r="D1" s="78" t="s">
        <v>4</v>
      </c>
      <c r="E1" s="79" t="s">
        <v>10</v>
      </c>
      <c r="F1" s="80" t="s">
        <v>124</v>
      </c>
      <c r="I1" s="82"/>
      <c r="J1" s="82"/>
      <c r="K1" s="82"/>
      <c r="L1" s="82"/>
      <c r="M1" s="82"/>
    </row>
    <row r="2" spans="1:13" s="37" customFormat="1" ht="15.75" thickBot="1" x14ac:dyDescent="0.3">
      <c r="A2" s="83" t="s">
        <v>11</v>
      </c>
      <c r="B2" s="52">
        <f>COUNTA(arrangementen!D:D)-1</f>
        <v>100</v>
      </c>
      <c r="C2" s="53">
        <f>COUNTA(arrangementen!G:G)-1</f>
        <v>100</v>
      </c>
      <c r="D2" s="53">
        <f>COUNTA(arrangementen!H:H)-1</f>
        <v>100</v>
      </c>
      <c r="E2" s="54">
        <f>COUNTA(arrangementen!I:I)-1</f>
        <v>100</v>
      </c>
      <c r="F2" s="55">
        <f>COUNTA(arrangementen!L:L)-1</f>
        <v>100</v>
      </c>
    </row>
    <row r="3" spans="1:13" s="38" customFormat="1" x14ac:dyDescent="0.25">
      <c r="A3" s="84" t="s">
        <v>12</v>
      </c>
      <c r="B3" s="56">
        <f>SUM(arrangementen!D:D)</f>
        <v>30425</v>
      </c>
      <c r="C3" s="57">
        <f>SUM(arrangementen!G:G)</f>
        <v>186</v>
      </c>
      <c r="D3" s="57">
        <f>SUM(arrangementen!H:H)</f>
        <v>23</v>
      </c>
      <c r="E3" s="58">
        <f>SUM(arrangementen!I:I)</f>
        <v>14</v>
      </c>
      <c r="F3" s="59">
        <f>SUM(arrangementen!L:L)</f>
        <v>324.93333333333328</v>
      </c>
    </row>
    <row r="4" spans="1:13" s="19" customFormat="1" x14ac:dyDescent="0.25">
      <c r="A4" s="85" t="s">
        <v>7</v>
      </c>
      <c r="B4" s="60">
        <f>AVERAGE(arrangementen!D:D)</f>
        <v>304.25</v>
      </c>
      <c r="C4" s="61">
        <f>AVERAGE(arrangementen!G:G)</f>
        <v>1.86</v>
      </c>
      <c r="D4" s="62">
        <f>AVERAGE(arrangementen!H:H)</f>
        <v>0.23</v>
      </c>
      <c r="E4" s="63">
        <f>AVERAGE(arrangementen!I:I)</f>
        <v>0.14000000000000001</v>
      </c>
      <c r="F4" s="64">
        <f>AVERAGE(arrangementen!L:L)</f>
        <v>3.249333333333333</v>
      </c>
    </row>
    <row r="5" spans="1:13" s="19" customFormat="1" ht="15.75" thickBot="1" x14ac:dyDescent="0.3">
      <c r="A5" s="85" t="s">
        <v>8</v>
      </c>
      <c r="B5" s="60">
        <f>_xlfn.STDEV.P(arrangementen!D:D)</f>
        <v>158.82596607607965</v>
      </c>
      <c r="C5" s="61">
        <f>_xlfn.STDEV.P(arrangementen!G:G)</f>
        <v>1.0489995233554685</v>
      </c>
      <c r="D5" s="61">
        <f>_xlfn.STDEV.P(arrangementen!H:H)</f>
        <v>0.42083250825001628</v>
      </c>
      <c r="E5" s="65">
        <f>_xlfn.STDEV.P(arrangementen!I:I)</f>
        <v>0.34698703145794946</v>
      </c>
      <c r="F5" s="64">
        <f>_xlfn.STDEV.P(arrangementen!L:L)</f>
        <v>1.468971522301687</v>
      </c>
      <c r="I5" s="39"/>
      <c r="J5" s="39"/>
      <c r="K5" s="39"/>
      <c r="L5" s="39"/>
      <c r="M5" s="39"/>
    </row>
    <row r="6" spans="1:13" s="40" customFormat="1" x14ac:dyDescent="0.25">
      <c r="A6" s="86" t="s">
        <v>5</v>
      </c>
      <c r="B6" s="66">
        <f>SMALL(arrangementen!D:D,1)</f>
        <v>50</v>
      </c>
      <c r="C6" s="67">
        <f>SMALL(arrangementen!G:G,1)</f>
        <v>1</v>
      </c>
      <c r="D6" s="67">
        <f>SMALL(arrangementen!H:H,1)</f>
        <v>0</v>
      </c>
      <c r="E6" s="68">
        <f>SMALL(arrangementen!I:I,1)</f>
        <v>0</v>
      </c>
      <c r="F6" s="69">
        <f>SMALL(arrangementen!L:L,1)</f>
        <v>1.05</v>
      </c>
      <c r="I6" s="41"/>
      <c r="J6" s="41"/>
      <c r="K6" s="41"/>
      <c r="L6" s="41"/>
      <c r="M6" s="41"/>
    </row>
    <row r="7" spans="1:13" s="42" customFormat="1" ht="15.75" thickBot="1" x14ac:dyDescent="0.3">
      <c r="A7" s="87" t="s">
        <v>6</v>
      </c>
      <c r="B7" s="70">
        <f>LARGE(arrangementen!D:D,1)</f>
        <v>650</v>
      </c>
      <c r="C7" s="71">
        <f>LARGE(arrangementen!G:G,1)</f>
        <v>4</v>
      </c>
      <c r="D7" s="71">
        <f>LARGE(arrangementen!H:H,1)</f>
        <v>1</v>
      </c>
      <c r="E7" s="72">
        <f>LARGE(arrangementen!I:I,1)</f>
        <v>1</v>
      </c>
      <c r="F7" s="73">
        <f>LARGE(arrangementen!L:L,1)</f>
        <v>5.9</v>
      </c>
      <c r="I7" s="43"/>
      <c r="J7" s="43"/>
      <c r="K7" s="43"/>
      <c r="L7" s="43"/>
      <c r="M7" s="43"/>
    </row>
    <row r="8" spans="1:13" x14ac:dyDescent="0.25">
      <c r="A8" s="85" t="str">
        <f t="array" ref="A8">IFERROR(INDEX(arrangementen!#REF!,MATCH(0,COUNTIF(stats!#REF!,arrangementen!#REF!),0)),"")</f>
        <v/>
      </c>
      <c r="B8" s="74" t="str">
        <f>IFERROR(AVERAGEIF(arrangementen!#REF!,$A8,arrangementen!#REF!),"")</f>
        <v/>
      </c>
      <c r="C8" s="61" t="str">
        <f>IFERROR(AVERAGEIF(arrangementen!#REF!,$A8,arrangementen!D:D),"")</f>
        <v/>
      </c>
      <c r="D8" s="61" t="str">
        <f>IFERROR(AVERAGEIF(arrangementen!#REF!,$A8,arrangementen!L:L),"")</f>
        <v/>
      </c>
      <c r="E8" s="65" t="str">
        <f>IFERROR(AVERAGEIF(arrangementen!#REF!,$A8,arrangementen!#REF!),"")</f>
        <v/>
      </c>
      <c r="F8" s="64" t="str">
        <f>IFERROR(AVERAGEIF(arrangementen!#REF!,$A8,arrangementen!I:I),"")</f>
        <v/>
      </c>
    </row>
    <row r="9" spans="1:13" x14ac:dyDescent="0.25">
      <c r="A9" s="85" t="str">
        <f t="array" ref="A9">IFERROR(INDEX(arrangementen!#REF!,MATCH(0,COUNTIF(stats!$A$8:A8,arrangementen!#REF!),0)),"")</f>
        <v/>
      </c>
      <c r="B9" s="74" t="str">
        <f>IFERROR(AVERAGEIF(arrangementen!#REF!,$A9,arrangementen!#REF!),"")</f>
        <v/>
      </c>
      <c r="C9" s="61" t="str">
        <f>IFERROR(AVERAGEIF(arrangementen!#REF!,$A9,arrangementen!D:D),"")</f>
        <v/>
      </c>
      <c r="D9" s="61" t="str">
        <f>IFERROR(AVERAGEIF(arrangementen!#REF!,$A9,arrangementen!L:L),"")</f>
        <v/>
      </c>
      <c r="E9" s="65" t="str">
        <f>IFERROR(AVERAGEIF(arrangementen!#REF!,$A9,arrangementen!#REF!),"")</f>
        <v/>
      </c>
      <c r="F9" s="64" t="str">
        <f>IFERROR(AVERAGEIF(arrangementen!#REF!,$A9,arrangementen!I:I),"")</f>
        <v/>
      </c>
    </row>
    <row r="10" spans="1:13" x14ac:dyDescent="0.25">
      <c r="A10" s="85" t="str">
        <f t="array" ref="A10">IFERROR(INDEX(arrangementen!#REF!,MATCH(0,COUNTIF(stats!$A$8:A9,arrangementen!#REF!),0)),"")</f>
        <v/>
      </c>
      <c r="B10" s="74" t="str">
        <f>IFERROR(AVERAGEIF(arrangementen!#REF!,$A10,arrangementen!#REF!),"")</f>
        <v/>
      </c>
      <c r="C10" s="61" t="str">
        <f>IFERROR(AVERAGEIF(arrangementen!#REF!,$A10,arrangementen!D:D),"")</f>
        <v/>
      </c>
      <c r="D10" s="61" t="str">
        <f>IFERROR(AVERAGEIF(arrangementen!#REF!,$A10,arrangementen!L:L),"")</f>
        <v/>
      </c>
      <c r="E10" s="65" t="str">
        <f>IFERROR(AVERAGEIF(arrangementen!#REF!,$A10,arrangementen!#REF!),"")</f>
        <v/>
      </c>
      <c r="F10" s="64" t="str">
        <f>IFERROR(AVERAGEIF(arrangementen!#REF!,$A10,arrangementen!I:I),"")</f>
        <v/>
      </c>
    </row>
    <row r="11" spans="1:13" x14ac:dyDescent="0.25">
      <c r="A11" s="85" t="str">
        <f t="array" ref="A11">IFERROR(INDEX(arrangementen!#REF!,MATCH(0,COUNTIF(stats!$A$8:A10,arrangementen!#REF!),0)),"")</f>
        <v/>
      </c>
      <c r="B11" s="74" t="str">
        <f>IFERROR(AVERAGEIF(arrangementen!#REF!,$A11,arrangementen!#REF!),"")</f>
        <v/>
      </c>
      <c r="C11" s="61" t="str">
        <f>IFERROR(AVERAGEIF(arrangementen!#REF!,$A11,arrangementen!D:D),"")</f>
        <v/>
      </c>
      <c r="D11" s="61" t="str">
        <f>IFERROR(AVERAGEIF(arrangementen!#REF!,$A11,arrangementen!L:L),"")</f>
        <v/>
      </c>
      <c r="E11" s="65" t="str">
        <f>IFERROR(AVERAGEIF(arrangementen!#REF!,$A11,arrangementen!#REF!),"")</f>
        <v/>
      </c>
      <c r="F11" s="64" t="str">
        <f>IFERROR(AVERAGEIF(arrangementen!#REF!,$A11,arrangementen!I:I),"")</f>
        <v/>
      </c>
    </row>
    <row r="12" spans="1:13" x14ac:dyDescent="0.25">
      <c r="A12" s="85" t="str">
        <f t="array" ref="A12">IFERROR(INDEX(arrangementen!#REF!,MATCH(0,COUNTIF(stats!$A$8:A11,arrangementen!#REF!),0)),"")</f>
        <v/>
      </c>
      <c r="B12" s="74" t="str">
        <f>IFERROR(AVERAGEIF(arrangementen!#REF!,$A12,arrangementen!#REF!),"")</f>
        <v/>
      </c>
      <c r="C12" s="61" t="str">
        <f>IFERROR(AVERAGEIF(arrangementen!#REF!,$A12,arrangementen!D:D),"")</f>
        <v/>
      </c>
      <c r="D12" s="61" t="str">
        <f>IFERROR(AVERAGEIF(arrangementen!#REF!,$A12,arrangementen!L:L),"")</f>
        <v/>
      </c>
      <c r="E12" s="65" t="str">
        <f>IFERROR(AVERAGEIF(arrangementen!#REF!,$A12,arrangementen!#REF!),"")</f>
        <v/>
      </c>
      <c r="F12" s="64" t="str">
        <f>IFERROR(AVERAGEIF(arrangementen!#REF!,$A12,arrangementen!I:I),"")</f>
        <v/>
      </c>
    </row>
    <row r="13" spans="1:13" x14ac:dyDescent="0.25">
      <c r="A13" s="85" t="str">
        <f t="array" ref="A13">IFERROR(INDEX(arrangementen!#REF!,MATCH(0,COUNTIF(stats!$A$8:A12,arrangementen!#REF!),0)),"")</f>
        <v/>
      </c>
      <c r="B13" s="74" t="str">
        <f>IFERROR(AVERAGEIF(arrangementen!#REF!,$A13,arrangementen!#REF!),"")</f>
        <v/>
      </c>
      <c r="C13" s="61" t="str">
        <f>IFERROR(AVERAGEIF(arrangementen!#REF!,$A13,arrangementen!D:D),"")</f>
        <v/>
      </c>
      <c r="D13" s="61" t="str">
        <f>IFERROR(AVERAGEIF(arrangementen!#REF!,$A13,arrangementen!L:L),"")</f>
        <v/>
      </c>
      <c r="E13" s="65" t="str">
        <f>IFERROR(AVERAGEIF(arrangementen!#REF!,$A13,arrangementen!#REF!),"")</f>
        <v/>
      </c>
      <c r="F13" s="64" t="str">
        <f>IFERROR(AVERAGEIF(arrangementen!#REF!,$A13,arrangementen!I:I),"")</f>
        <v/>
      </c>
    </row>
    <row r="14" spans="1:13" x14ac:dyDescent="0.25">
      <c r="A14" s="85" t="str">
        <f t="array" ref="A14">IFERROR(INDEX(arrangementen!#REF!,MATCH(0,COUNTIF(stats!$A$8:A13,arrangementen!#REF!),0)),"")</f>
        <v/>
      </c>
      <c r="B14" s="74" t="str">
        <f>IFERROR(AVERAGEIF(arrangementen!#REF!,$A14,arrangementen!#REF!),"")</f>
        <v/>
      </c>
      <c r="C14" s="61" t="str">
        <f>IFERROR(AVERAGEIF(arrangementen!#REF!,$A14,arrangementen!D:D),"")</f>
        <v/>
      </c>
      <c r="D14" s="61" t="str">
        <f>IFERROR(AVERAGEIF(arrangementen!#REF!,$A14,arrangementen!L:L),"")</f>
        <v/>
      </c>
      <c r="E14" s="65" t="str">
        <f>IFERROR(AVERAGEIF(arrangementen!#REF!,$A14,arrangementen!#REF!),"")</f>
        <v/>
      </c>
      <c r="F14" s="64" t="str">
        <f>IFERROR(AVERAGEIF(arrangementen!#REF!,$A14,arrangementen!I:I),"")</f>
        <v/>
      </c>
    </row>
    <row r="15" spans="1:13" x14ac:dyDescent="0.25">
      <c r="A15" s="85" t="str">
        <f t="array" ref="A15">IFERROR(INDEX(arrangementen!#REF!,MATCH(0,COUNTIF(stats!$A$8:A14,arrangementen!#REF!),0)),"")</f>
        <v/>
      </c>
      <c r="B15" s="74" t="str">
        <f>IFERROR(AVERAGEIF(arrangementen!#REF!,$A15,arrangementen!#REF!),"")</f>
        <v/>
      </c>
      <c r="C15" s="61" t="str">
        <f>IFERROR(AVERAGEIF(arrangementen!#REF!,$A15,arrangementen!D:D),"")</f>
        <v/>
      </c>
      <c r="D15" s="61" t="str">
        <f>IFERROR(AVERAGEIF(arrangementen!#REF!,$A15,arrangementen!L:L),"")</f>
        <v/>
      </c>
      <c r="E15" s="65" t="str">
        <f>IFERROR(AVERAGEIF(arrangementen!#REF!,$A15,arrangementen!#REF!),"")</f>
        <v/>
      </c>
      <c r="F15" s="64" t="str">
        <f>IFERROR(AVERAGEIF(arrangementen!#REF!,$A15,arrangementen!I:I),"")</f>
        <v/>
      </c>
    </row>
    <row r="16" spans="1:13" x14ac:dyDescent="0.25">
      <c r="A16" s="85" t="str">
        <f t="array" ref="A16">IFERROR(INDEX(arrangementen!#REF!,MATCH(0,COUNTIF(stats!$A$8:A15,arrangementen!#REF!),0)),"")</f>
        <v/>
      </c>
      <c r="B16" s="74" t="str">
        <f>IFERROR(AVERAGEIF(arrangementen!#REF!,$A16,arrangementen!#REF!),"")</f>
        <v/>
      </c>
      <c r="C16" s="61" t="str">
        <f>IFERROR(AVERAGEIF(arrangementen!#REF!,$A16,arrangementen!D:D),"")</f>
        <v/>
      </c>
      <c r="D16" s="61" t="str">
        <f>IFERROR(AVERAGEIF(arrangementen!#REF!,$A16,arrangementen!L:L),"")</f>
        <v/>
      </c>
      <c r="E16" s="65" t="str">
        <f>IFERROR(AVERAGEIF(arrangementen!#REF!,$A16,arrangementen!#REF!),"")</f>
        <v/>
      </c>
      <c r="F16" s="64" t="str">
        <f>IFERROR(AVERAGEIF(arrangementen!#REF!,$A16,arrangementen!I:I),"")</f>
        <v/>
      </c>
    </row>
    <row r="17" spans="1:6" x14ac:dyDescent="0.25">
      <c r="A17" s="85" t="str">
        <f t="array" ref="A17">IFERROR(INDEX(arrangementen!#REF!,MATCH(0,COUNTIF(stats!$A$8:A16,arrangementen!#REF!),0)),"")</f>
        <v/>
      </c>
      <c r="B17" s="74" t="str">
        <f>IFERROR(AVERAGEIF(arrangementen!#REF!,$A17,arrangementen!#REF!),"")</f>
        <v/>
      </c>
      <c r="C17" s="61" t="str">
        <f>IFERROR(AVERAGEIF(arrangementen!#REF!,$A17,arrangementen!D:D),"")</f>
        <v/>
      </c>
      <c r="D17" s="61" t="str">
        <f>IFERROR(AVERAGEIF(arrangementen!#REF!,$A17,arrangementen!L:L),"")</f>
        <v/>
      </c>
      <c r="E17" s="65" t="str">
        <f>IFERROR(AVERAGEIF(arrangementen!#REF!,$A17,arrangementen!#REF!),"")</f>
        <v/>
      </c>
      <c r="F17" s="64" t="str">
        <f>IFERROR(AVERAGEIF(arrangementen!#REF!,$A17,arrangementen!I:I),"")</f>
        <v/>
      </c>
    </row>
    <row r="18" spans="1:6" x14ac:dyDescent="0.25">
      <c r="A18" s="85" t="str">
        <f t="array" ref="A18">IFERROR(INDEX(arrangementen!#REF!,MATCH(0,COUNTIF(stats!$A$8:A17,arrangementen!#REF!),0)),"")</f>
        <v/>
      </c>
      <c r="B18" s="74" t="str">
        <f>IFERROR(AVERAGEIF(arrangementen!#REF!,$A18,arrangementen!#REF!),"")</f>
        <v/>
      </c>
      <c r="C18" s="61" t="str">
        <f>IFERROR(AVERAGEIF(arrangementen!#REF!,$A18,arrangementen!D:D),"")</f>
        <v/>
      </c>
      <c r="D18" s="61" t="str">
        <f>IFERROR(AVERAGEIF(arrangementen!#REF!,$A18,arrangementen!L:L),"")</f>
        <v/>
      </c>
      <c r="E18" s="65" t="str">
        <f>IFERROR(AVERAGEIF(arrangementen!#REF!,$A18,arrangementen!#REF!),"")</f>
        <v/>
      </c>
      <c r="F18" s="64" t="str">
        <f>IFERROR(AVERAGEIF(arrangementen!#REF!,$A18,arrangementen!I:I),"")</f>
        <v/>
      </c>
    </row>
    <row r="19" spans="1:6" x14ac:dyDescent="0.25">
      <c r="A19" s="85" t="str">
        <f t="array" ref="A19">IFERROR(INDEX(arrangementen!#REF!,MATCH(0,COUNTIF(stats!$A$8:A18,arrangementen!#REF!),0)),"")</f>
        <v/>
      </c>
      <c r="B19" s="74" t="str">
        <f>IFERROR(AVERAGEIF(arrangementen!#REF!,$A19,arrangementen!#REF!),"")</f>
        <v/>
      </c>
      <c r="C19" s="61" t="str">
        <f>IFERROR(AVERAGEIF(arrangementen!#REF!,$A19,arrangementen!D:D),"")</f>
        <v/>
      </c>
      <c r="D19" s="61" t="str">
        <f>IFERROR(AVERAGEIF(arrangementen!#REF!,$A19,arrangementen!L:L),"")</f>
        <v/>
      </c>
      <c r="E19" s="65" t="str">
        <f>IFERROR(AVERAGEIF(arrangementen!#REF!,$A19,arrangementen!#REF!),"")</f>
        <v/>
      </c>
      <c r="F19" s="64" t="str">
        <f>IFERROR(AVERAGEIF(arrangementen!#REF!,$A19,arrangementen!I:I),"")</f>
        <v/>
      </c>
    </row>
    <row r="20" spans="1:6" x14ac:dyDescent="0.25">
      <c r="A20" s="85" t="str">
        <f t="array" ref="A20">IFERROR(INDEX(arrangementen!#REF!,MATCH(0,COUNTIF(stats!$A$8:A19,arrangementen!#REF!),0)),"")</f>
        <v/>
      </c>
      <c r="B20" s="74" t="str">
        <f>IFERROR(AVERAGEIF(arrangementen!#REF!,$A20,arrangementen!#REF!),"")</f>
        <v/>
      </c>
      <c r="C20" s="61" t="str">
        <f>IFERROR(AVERAGEIF(arrangementen!#REF!,$A20,arrangementen!D:D),"")</f>
        <v/>
      </c>
      <c r="D20" s="61" t="str">
        <f>IFERROR(AVERAGEIF(arrangementen!#REF!,$A20,arrangementen!L:L),"")</f>
        <v/>
      </c>
      <c r="E20" s="65" t="str">
        <f>IFERROR(AVERAGEIF(arrangementen!#REF!,$A20,arrangementen!#REF!),"")</f>
        <v/>
      </c>
      <c r="F20" s="64" t="str">
        <f>IFERROR(AVERAGEIF(arrangementen!#REF!,$A20,arrangementen!I:I),"")</f>
        <v/>
      </c>
    </row>
    <row r="21" spans="1:6" x14ac:dyDescent="0.25">
      <c r="A21" s="85" t="str">
        <f t="array" ref="A21">IFERROR(INDEX(arrangementen!#REF!,MATCH(0,COUNTIF(stats!$A$8:A20,arrangementen!#REF!),0)),"")</f>
        <v/>
      </c>
      <c r="B21" s="74" t="str">
        <f>IFERROR(AVERAGEIF(arrangementen!#REF!,$A21,arrangementen!#REF!),"")</f>
        <v/>
      </c>
      <c r="C21" s="61" t="str">
        <f>IFERROR(AVERAGEIF(arrangementen!#REF!,$A21,arrangementen!D:D),"")</f>
        <v/>
      </c>
      <c r="D21" s="61" t="str">
        <f>IFERROR(AVERAGEIF(arrangementen!#REF!,$A21,arrangementen!L:L),"")</f>
        <v/>
      </c>
      <c r="E21" s="65" t="str">
        <f>IFERROR(AVERAGEIF(arrangementen!#REF!,$A21,arrangementen!#REF!),"")</f>
        <v/>
      </c>
      <c r="F21" s="64" t="str">
        <f>IFERROR(AVERAGEIF(arrangementen!#REF!,$A21,arrangementen!I:I),"")</f>
        <v/>
      </c>
    </row>
    <row r="22" spans="1:6" x14ac:dyDescent="0.25">
      <c r="A22" s="85" t="str">
        <f t="array" ref="A22">IFERROR(INDEX(arrangementen!#REF!,MATCH(0,COUNTIF(stats!$A$8:A21,arrangementen!#REF!),0)),"")</f>
        <v/>
      </c>
      <c r="B22" s="74" t="str">
        <f>IFERROR(AVERAGEIF(arrangementen!#REF!,$A22,arrangementen!#REF!),"")</f>
        <v/>
      </c>
      <c r="C22" s="61" t="str">
        <f>IFERROR(AVERAGEIF(arrangementen!#REF!,$A22,arrangementen!D:D),"")</f>
        <v/>
      </c>
      <c r="D22" s="61" t="str">
        <f>IFERROR(AVERAGEIF(arrangementen!#REF!,$A22,arrangementen!L:L),"")</f>
        <v/>
      </c>
      <c r="E22" s="65" t="str">
        <f>IFERROR(AVERAGEIF(arrangementen!#REF!,$A22,arrangementen!#REF!),"")</f>
        <v/>
      </c>
      <c r="F22" s="64" t="str">
        <f>IFERROR(AVERAGEIF(arrangementen!#REF!,$A22,arrangementen!I:I),"")</f>
        <v/>
      </c>
    </row>
    <row r="23" spans="1:6" x14ac:dyDescent="0.25">
      <c r="A23" s="85" t="str">
        <f t="array" ref="A23">IFERROR(INDEX(arrangementen!#REF!,MATCH(0,COUNTIF(stats!$A$8:A22,arrangementen!#REF!),0)),"")</f>
        <v/>
      </c>
      <c r="B23" s="74" t="str">
        <f>IFERROR(AVERAGEIF(arrangementen!#REF!,$A23,arrangementen!#REF!),"")</f>
        <v/>
      </c>
      <c r="C23" s="61" t="str">
        <f>IFERROR(AVERAGEIF(arrangementen!#REF!,$A23,arrangementen!D:D),"")</f>
        <v/>
      </c>
      <c r="D23" s="61" t="str">
        <f>IFERROR(AVERAGEIF(arrangementen!#REF!,$A23,arrangementen!L:L),"")</f>
        <v/>
      </c>
      <c r="E23" s="65" t="str">
        <f>IFERROR(AVERAGEIF(arrangementen!#REF!,$A23,arrangementen!#REF!),"")</f>
        <v/>
      </c>
      <c r="F23" s="64" t="str">
        <f>IFERROR(AVERAGEIF(arrangementen!#REF!,$A23,arrangementen!I:I),"")</f>
        <v/>
      </c>
    </row>
    <row r="24" spans="1:6" x14ac:dyDescent="0.25">
      <c r="A24" s="85" t="str">
        <f t="array" ref="A24">IFERROR(INDEX(arrangementen!#REF!,MATCH(0,COUNTIF(stats!$A$8:A23,arrangementen!#REF!),0)),"")</f>
        <v/>
      </c>
      <c r="B24" s="74" t="str">
        <f>IFERROR(AVERAGEIF(arrangementen!#REF!,$A24,arrangementen!#REF!),"")</f>
        <v/>
      </c>
      <c r="C24" s="61" t="str">
        <f>IFERROR(AVERAGEIF(arrangementen!#REF!,$A24,arrangementen!D:D),"")</f>
        <v/>
      </c>
      <c r="D24" s="61" t="str">
        <f>IFERROR(AVERAGEIF(arrangementen!#REF!,$A24,arrangementen!L:L),"")</f>
        <v/>
      </c>
      <c r="E24" s="65" t="str">
        <f>IFERROR(AVERAGEIF(arrangementen!#REF!,$A24,arrangementen!#REF!),"")</f>
        <v/>
      </c>
      <c r="F24" s="64" t="str">
        <f>IFERROR(AVERAGEIF(arrangementen!#REF!,$A24,arrangementen!I:I),"")</f>
        <v/>
      </c>
    </row>
    <row r="25" spans="1:6" x14ac:dyDescent="0.25">
      <c r="A25" s="85" t="str">
        <f t="array" ref="A25">IFERROR(INDEX(arrangementen!#REF!,MATCH(0,COUNTIF(stats!$A$8:A24,arrangementen!#REF!),0)),"")</f>
        <v/>
      </c>
      <c r="B25" s="74" t="str">
        <f>IFERROR(AVERAGEIF(arrangementen!#REF!,$A25,arrangementen!#REF!),"")</f>
        <v/>
      </c>
      <c r="C25" s="61" t="str">
        <f>IFERROR(AVERAGEIF(arrangementen!#REF!,$A25,arrangementen!D:D),"")</f>
        <v/>
      </c>
      <c r="D25" s="61" t="str">
        <f>IFERROR(AVERAGEIF(arrangementen!#REF!,$A25,arrangementen!L:L),"")</f>
        <v/>
      </c>
      <c r="E25" s="65" t="str">
        <f>IFERROR(AVERAGEIF(arrangementen!#REF!,$A25,arrangementen!#REF!),"")</f>
        <v/>
      </c>
      <c r="F25" s="64" t="str">
        <f>IFERROR(AVERAGEIF(arrangementen!#REF!,$A25,arrangementen!I:I),"")</f>
        <v/>
      </c>
    </row>
    <row r="26" spans="1:6" x14ac:dyDescent="0.25">
      <c r="A26" s="85" t="str">
        <f t="array" ref="A26">IFERROR(INDEX(arrangementen!#REF!,MATCH(0,COUNTIF(stats!$A$8:A25,arrangementen!#REF!),0)),"")</f>
        <v/>
      </c>
      <c r="B26" s="74" t="str">
        <f>IFERROR(AVERAGEIF(arrangementen!#REF!,$A26,arrangementen!#REF!),"")</f>
        <v/>
      </c>
      <c r="C26" s="61" t="str">
        <f>IFERROR(AVERAGEIF(arrangementen!#REF!,$A26,arrangementen!D:D),"")</f>
        <v/>
      </c>
      <c r="D26" s="61" t="str">
        <f>IFERROR(AVERAGEIF(arrangementen!#REF!,$A26,arrangementen!L:L),"")</f>
        <v/>
      </c>
      <c r="E26" s="65" t="str">
        <f>IFERROR(AVERAGEIF(arrangementen!#REF!,$A26,arrangementen!#REF!),"")</f>
        <v/>
      </c>
      <c r="F26" s="64" t="str">
        <f>IFERROR(AVERAGEIF(arrangementen!#REF!,$A26,arrangementen!I:I),"")</f>
        <v/>
      </c>
    </row>
    <row r="27" spans="1:6" x14ac:dyDescent="0.25">
      <c r="A27" s="85" t="str">
        <f t="array" ref="A27">IFERROR(INDEX(arrangementen!#REF!,MATCH(0,COUNTIF(stats!$A$8:A26,arrangementen!#REF!),0)),"")</f>
        <v/>
      </c>
      <c r="B27" s="74" t="str">
        <f>IFERROR(AVERAGEIF(arrangementen!#REF!,$A27,arrangementen!#REF!),"")</f>
        <v/>
      </c>
      <c r="C27" s="61" t="str">
        <f>IFERROR(AVERAGEIF(arrangementen!#REF!,$A27,arrangementen!D:D),"")</f>
        <v/>
      </c>
      <c r="D27" s="61" t="str">
        <f>IFERROR(AVERAGEIF(arrangementen!#REF!,$A27,arrangementen!L:L),"")</f>
        <v/>
      </c>
      <c r="E27" s="65" t="str">
        <f>IFERROR(AVERAGEIF(arrangementen!#REF!,$A27,arrangementen!#REF!),"")</f>
        <v/>
      </c>
      <c r="F27" s="64" t="str">
        <f>IFERROR(AVERAGEIF(arrangementen!#REF!,$A27,arrangementen!I:I),"")</f>
        <v/>
      </c>
    </row>
    <row r="28" spans="1:6" x14ac:dyDescent="0.25">
      <c r="A28" s="85" t="str">
        <f t="array" ref="A28">IFERROR(INDEX(arrangementen!#REF!,MATCH(0,COUNTIF(stats!$A$8:A27,arrangementen!#REF!),0)),"")</f>
        <v/>
      </c>
      <c r="B28" s="74" t="str">
        <f>IFERROR(AVERAGEIF(arrangementen!#REF!,$A28,arrangementen!#REF!),"")</f>
        <v/>
      </c>
      <c r="C28" s="61" t="str">
        <f>IFERROR(AVERAGEIF(arrangementen!#REF!,$A28,arrangementen!D:D),"")</f>
        <v/>
      </c>
      <c r="D28" s="61" t="str">
        <f>IFERROR(AVERAGEIF(arrangementen!#REF!,$A28,arrangementen!L:L),"")</f>
        <v/>
      </c>
      <c r="E28" s="65" t="str">
        <f>IFERROR(AVERAGEIF(arrangementen!#REF!,$A28,arrangementen!#REF!),"")</f>
        <v/>
      </c>
      <c r="F28" s="64" t="str">
        <f>IFERROR(AVERAGEIF(arrangementen!#REF!,$A28,arrangementen!I:I),"")</f>
        <v/>
      </c>
    </row>
    <row r="29" spans="1:6" x14ac:dyDescent="0.25">
      <c r="A29" s="85" t="str">
        <f t="array" ref="A29">IFERROR(INDEX(arrangementen!#REF!,MATCH(0,COUNTIF(stats!$A$8:A28,arrangementen!#REF!),0)),"")</f>
        <v/>
      </c>
      <c r="B29" s="74" t="str">
        <f>IFERROR(AVERAGEIF(arrangementen!#REF!,$A29,arrangementen!#REF!),"")</f>
        <v/>
      </c>
      <c r="C29" s="61" t="str">
        <f>IFERROR(AVERAGEIF(arrangementen!#REF!,$A29,arrangementen!D:D),"")</f>
        <v/>
      </c>
      <c r="D29" s="61" t="str">
        <f>IFERROR(AVERAGEIF(arrangementen!#REF!,$A29,arrangementen!L:L),"")</f>
        <v/>
      </c>
      <c r="E29" s="65" t="str">
        <f>IFERROR(AVERAGEIF(arrangementen!#REF!,$A29,arrangementen!#REF!),"")</f>
        <v/>
      </c>
      <c r="F29" s="64" t="str">
        <f>IFERROR(AVERAGEIF(arrangementen!#REF!,$A29,arrangementen!I:I),"")</f>
        <v/>
      </c>
    </row>
    <row r="30" spans="1:6" x14ac:dyDescent="0.25">
      <c r="A30" s="85" t="str">
        <f t="array" ref="A30">IFERROR(INDEX(arrangementen!#REF!,MATCH(0,COUNTIF(stats!$A$8:A29,arrangementen!#REF!),0)),"")</f>
        <v/>
      </c>
      <c r="B30" s="74" t="str">
        <f>IFERROR(AVERAGEIF(arrangementen!#REF!,$A30,arrangementen!#REF!),"")</f>
        <v/>
      </c>
      <c r="C30" s="61" t="str">
        <f>IFERROR(AVERAGEIF(arrangementen!#REF!,$A30,arrangementen!D:D),"")</f>
        <v/>
      </c>
      <c r="D30" s="61" t="str">
        <f>IFERROR(AVERAGEIF(arrangementen!#REF!,$A30,arrangementen!L:L),"")</f>
        <v/>
      </c>
      <c r="E30" s="65" t="str">
        <f>IFERROR(AVERAGEIF(arrangementen!#REF!,$A30,arrangementen!#REF!),"")</f>
        <v/>
      </c>
      <c r="F30" s="64" t="str">
        <f>IFERROR(AVERAGEIF(arrangementen!#REF!,$A30,arrangementen!I:I),"")</f>
        <v/>
      </c>
    </row>
    <row r="31" spans="1:6" x14ac:dyDescent="0.25">
      <c r="A31" s="85" t="str">
        <f t="array" ref="A31">IFERROR(INDEX(arrangementen!#REF!,MATCH(0,COUNTIF(stats!$A$8:A30,arrangementen!#REF!),0)),"")</f>
        <v/>
      </c>
      <c r="B31" s="74" t="str">
        <f>IFERROR(AVERAGEIF(arrangementen!#REF!,$A31,arrangementen!#REF!),"")</f>
        <v/>
      </c>
      <c r="C31" s="61" t="str">
        <f>IFERROR(AVERAGEIF(arrangementen!#REF!,$A31,arrangementen!D:D),"")</f>
        <v/>
      </c>
      <c r="D31" s="61" t="str">
        <f>IFERROR(AVERAGEIF(arrangementen!#REF!,$A31,arrangementen!L:L),"")</f>
        <v/>
      </c>
      <c r="E31" s="65" t="str">
        <f>IFERROR(AVERAGEIF(arrangementen!#REF!,$A31,arrangementen!#REF!),"")</f>
        <v/>
      </c>
      <c r="F31" s="64" t="str">
        <f>IFERROR(AVERAGEIF(arrangementen!#REF!,$A31,arrangementen!I:I),"")</f>
        <v/>
      </c>
    </row>
    <row r="32" spans="1:6" x14ac:dyDescent="0.25">
      <c r="A32" s="85" t="str">
        <f t="array" ref="A32">IFERROR(INDEX(arrangementen!#REF!,MATCH(0,COUNTIF(stats!$A$8:A31,arrangementen!#REF!),0)),"")</f>
        <v/>
      </c>
      <c r="B32" s="74" t="str">
        <f>IFERROR(AVERAGEIF(arrangementen!#REF!,$A32,arrangementen!#REF!),"")</f>
        <v/>
      </c>
      <c r="C32" s="61" t="str">
        <f>IFERROR(AVERAGEIF(arrangementen!#REF!,$A32,arrangementen!D:D),"")</f>
        <v/>
      </c>
      <c r="D32" s="61" t="str">
        <f>IFERROR(AVERAGEIF(arrangementen!#REF!,$A32,arrangementen!L:L),"")</f>
        <v/>
      </c>
      <c r="E32" s="65" t="str">
        <f>IFERROR(AVERAGEIF(arrangementen!#REF!,$A32,arrangementen!#REF!),"")</f>
        <v/>
      </c>
      <c r="F32" s="75" t="str">
        <f>IFERROR(AVERAGEIF(arrangementen!#REF!,$A32,arrangementen!I:I),"")</f>
        <v/>
      </c>
    </row>
    <row r="33" spans="1:6" x14ac:dyDescent="0.25">
      <c r="A33" s="85" t="str">
        <f t="array" ref="A33">IFERROR(INDEX(arrangementen!#REF!,MATCH(0,COUNTIF(stats!$A$8:A32,arrangementen!#REF!),0)),"")</f>
        <v/>
      </c>
      <c r="B33" s="74" t="str">
        <f>IFERROR(AVERAGEIF(arrangementen!#REF!,$A33,arrangementen!#REF!),"")</f>
        <v/>
      </c>
      <c r="C33" s="61" t="str">
        <f>IFERROR(AVERAGEIF(arrangementen!#REF!,$A33,arrangementen!D:D),"")</f>
        <v/>
      </c>
      <c r="D33" s="61" t="str">
        <f>IFERROR(AVERAGEIF(arrangementen!#REF!,$A33,arrangementen!L:L),"")</f>
        <v/>
      </c>
      <c r="E33" s="65" t="str">
        <f>IFERROR(AVERAGEIF(arrangementen!#REF!,$A33,arrangementen!#REF!),"")</f>
        <v/>
      </c>
      <c r="F33" s="75" t="str">
        <f>IFERROR(AVERAGEIF(arrangementen!#REF!,$A33,arrangementen!I:I),"")</f>
        <v/>
      </c>
    </row>
    <row r="34" spans="1:6" x14ac:dyDescent="0.25">
      <c r="A34" s="85" t="str">
        <f t="array" ref="A34">IFERROR(INDEX(arrangementen!#REF!,MATCH(0,COUNTIF(stats!$A$8:A33,arrangementen!#REF!),0)),"")</f>
        <v/>
      </c>
      <c r="B34" s="74" t="str">
        <f>IFERROR(AVERAGEIF(arrangementen!#REF!,$A34,arrangementen!#REF!),"")</f>
        <v/>
      </c>
      <c r="C34" s="61" t="str">
        <f>IFERROR(AVERAGEIF(arrangementen!#REF!,$A34,arrangementen!D:D),"")</f>
        <v/>
      </c>
      <c r="D34" s="61" t="str">
        <f>IFERROR(AVERAGEIF(arrangementen!#REF!,$A34,arrangementen!L:L),"")</f>
        <v/>
      </c>
      <c r="E34" s="65" t="str">
        <f>IFERROR(AVERAGEIF(arrangementen!#REF!,$A34,arrangementen!#REF!),"")</f>
        <v/>
      </c>
      <c r="F34" s="75" t="str">
        <f>IFERROR(AVERAGEIF(arrangementen!#REF!,$A34,arrangementen!I:I),"")</f>
        <v/>
      </c>
    </row>
    <row r="35" spans="1:6" x14ac:dyDescent="0.25">
      <c r="A35" s="85" t="str">
        <f t="array" ref="A35">IFERROR(INDEX(arrangementen!#REF!,MATCH(0,COUNTIF(stats!$A$8:A34,arrangementen!#REF!),0)),"")</f>
        <v/>
      </c>
      <c r="B35" s="74" t="str">
        <f>IFERROR(AVERAGEIF(arrangementen!#REF!,$A35,arrangementen!#REF!),"")</f>
        <v/>
      </c>
      <c r="C35" s="61" t="str">
        <f>IFERROR(AVERAGEIF(arrangementen!#REF!,$A35,arrangementen!D:D),"")</f>
        <v/>
      </c>
      <c r="D35" s="61" t="str">
        <f>IFERROR(AVERAGEIF(arrangementen!#REF!,$A35,arrangementen!L:L),"")</f>
        <v/>
      </c>
      <c r="E35" s="65" t="str">
        <f>IFERROR(AVERAGEIF(arrangementen!#REF!,$A35,arrangementen!#REF!),"")</f>
        <v/>
      </c>
      <c r="F35" s="75" t="str">
        <f>IFERROR(AVERAGEIF(arrangementen!#REF!,$A35,arrangementen!I:I),"")</f>
        <v/>
      </c>
    </row>
    <row r="36" spans="1:6" x14ac:dyDescent="0.25">
      <c r="A36" s="85" t="str">
        <f t="array" ref="A36">IFERROR(INDEX(arrangementen!#REF!,MATCH(0,COUNTIF(stats!$A$8:A35,arrangementen!#REF!),0)),"")</f>
        <v/>
      </c>
      <c r="B36" s="74" t="str">
        <f>IFERROR(AVERAGEIF(arrangementen!#REF!,$A36,arrangementen!#REF!),"")</f>
        <v/>
      </c>
      <c r="C36" s="61" t="str">
        <f>IFERROR(AVERAGEIF(arrangementen!#REF!,$A36,arrangementen!D:D),"")</f>
        <v/>
      </c>
      <c r="D36" s="61" t="str">
        <f>IFERROR(AVERAGEIF(arrangementen!#REF!,$A36,arrangementen!L:L),"")</f>
        <v/>
      </c>
      <c r="E36" s="65" t="str">
        <f>IFERROR(AVERAGEIF(arrangementen!#REF!,$A36,arrangementen!#REF!),"")</f>
        <v/>
      </c>
      <c r="F36" s="75" t="str">
        <f>IFERROR(AVERAGEIF(arrangementen!#REF!,$A36,arrangementen!I:I),"")</f>
        <v/>
      </c>
    </row>
    <row r="37" spans="1:6" x14ac:dyDescent="0.25">
      <c r="A37" s="85" t="str">
        <f t="array" ref="A37">IFERROR(INDEX(arrangementen!#REF!,MATCH(0,COUNTIF(stats!$A$8:A36,arrangementen!#REF!),0)),"")</f>
        <v/>
      </c>
      <c r="B37" s="74" t="str">
        <f>IFERROR(AVERAGEIF(arrangementen!#REF!,$A37,arrangementen!#REF!),"")</f>
        <v/>
      </c>
      <c r="C37" s="61" t="str">
        <f>IFERROR(AVERAGEIF(arrangementen!#REF!,$A37,arrangementen!D:D),"")</f>
        <v/>
      </c>
      <c r="D37" s="61" t="str">
        <f>IFERROR(AVERAGEIF(arrangementen!#REF!,$A37,arrangementen!L:L),"")</f>
        <v/>
      </c>
      <c r="E37" s="65" t="str">
        <f>IFERROR(AVERAGEIF(arrangementen!#REF!,$A37,arrangementen!#REF!),"")</f>
        <v/>
      </c>
      <c r="F37" s="75" t="str">
        <f>IFERROR(AVERAGEIF(arrangementen!#REF!,$A37,arrangementen!I:I),"")</f>
        <v/>
      </c>
    </row>
    <row r="38" spans="1:6" x14ac:dyDescent="0.25">
      <c r="A38" s="85" t="str">
        <f t="array" ref="A38">IFERROR(INDEX(arrangementen!#REF!,MATCH(0,COUNTIF(stats!$A$8:A37,arrangementen!#REF!),0)),"")</f>
        <v/>
      </c>
      <c r="B38" s="74" t="str">
        <f>IFERROR(AVERAGEIF(arrangementen!#REF!,$A38,arrangementen!#REF!),"")</f>
        <v/>
      </c>
      <c r="C38" s="61" t="str">
        <f>IFERROR(AVERAGEIF(arrangementen!#REF!,$A38,arrangementen!D:D),"")</f>
        <v/>
      </c>
      <c r="D38" s="61" t="str">
        <f>IFERROR(AVERAGEIF(arrangementen!#REF!,$A38,arrangementen!L:L),"")</f>
        <v/>
      </c>
      <c r="E38" s="65" t="str">
        <f>IFERROR(AVERAGEIF(arrangementen!#REF!,$A38,arrangementen!#REF!),"")</f>
        <v/>
      </c>
      <c r="F38" s="75" t="str">
        <f>IFERROR(AVERAGEIF(arrangementen!#REF!,$A38,arrangementen!I:I),"")</f>
        <v/>
      </c>
    </row>
    <row r="39" spans="1:6" x14ac:dyDescent="0.25">
      <c r="A39" s="85" t="str">
        <f t="array" ref="A39">IFERROR(INDEX(arrangementen!#REF!,MATCH(0,COUNTIF(stats!$A$8:A38,arrangementen!#REF!),0)),"")</f>
        <v/>
      </c>
      <c r="B39" s="74" t="str">
        <f>IFERROR(AVERAGEIF(arrangementen!#REF!,$A39,arrangementen!#REF!),"")</f>
        <v/>
      </c>
      <c r="C39" s="61" t="str">
        <f>IFERROR(AVERAGEIF(arrangementen!#REF!,$A39,arrangementen!D:D),"")</f>
        <v/>
      </c>
      <c r="D39" s="61" t="str">
        <f>IFERROR(AVERAGEIF(arrangementen!#REF!,$A39,arrangementen!L:L),"")</f>
        <v/>
      </c>
      <c r="E39" s="65" t="str">
        <f>IFERROR(AVERAGEIF(arrangementen!#REF!,$A39,arrangementen!#REF!),"")</f>
        <v/>
      </c>
      <c r="F39" s="75" t="str">
        <f>IFERROR(AVERAGEIF(arrangementen!#REF!,$A39,arrangementen!I:I),"")</f>
        <v/>
      </c>
    </row>
    <row r="40" spans="1:6" x14ac:dyDescent="0.25">
      <c r="A40" s="85" t="str">
        <f t="array" ref="A40">IFERROR(INDEX(arrangementen!#REF!,MATCH(0,COUNTIF(stats!$A$8:A39,arrangementen!#REF!),0)),"")</f>
        <v/>
      </c>
      <c r="B40" s="74" t="str">
        <f>IFERROR(AVERAGEIF(arrangementen!#REF!,$A40,arrangementen!#REF!),"")</f>
        <v/>
      </c>
      <c r="C40" s="61" t="str">
        <f>IFERROR(AVERAGEIF(arrangementen!#REF!,$A40,arrangementen!D:D),"")</f>
        <v/>
      </c>
      <c r="D40" s="61" t="str">
        <f>IFERROR(AVERAGEIF(arrangementen!#REF!,$A40,arrangementen!L:L),"")</f>
        <v/>
      </c>
      <c r="E40" s="65" t="str">
        <f>IFERROR(AVERAGEIF(arrangementen!#REF!,$A40,arrangementen!#REF!),"")</f>
        <v/>
      </c>
      <c r="F40" s="75" t="str">
        <f>IFERROR(AVERAGEIF(arrangementen!#REF!,$A40,arrangementen!I:I),"")</f>
        <v/>
      </c>
    </row>
    <row r="41" spans="1:6" x14ac:dyDescent="0.25">
      <c r="A41" s="85" t="str">
        <f t="array" ref="A41">IFERROR(INDEX(arrangementen!#REF!,MATCH(0,COUNTIF(stats!$A$8:A40,arrangementen!#REF!),0)),"")</f>
        <v/>
      </c>
      <c r="B41" s="74" t="str">
        <f>IFERROR(AVERAGEIF(arrangementen!#REF!,$A41,arrangementen!#REF!),"")</f>
        <v/>
      </c>
      <c r="C41" s="61" t="str">
        <f>IFERROR(AVERAGEIF(arrangementen!#REF!,$A41,arrangementen!D:D),"")</f>
        <v/>
      </c>
      <c r="D41" s="61" t="str">
        <f>IFERROR(AVERAGEIF(arrangementen!#REF!,$A41,arrangementen!L:L),"")</f>
        <v/>
      </c>
      <c r="E41" s="65" t="str">
        <f>IFERROR(AVERAGEIF(arrangementen!#REF!,$A41,arrangementen!#REF!),"")</f>
        <v/>
      </c>
      <c r="F41" s="75" t="str">
        <f>IFERROR(AVERAGEIF(arrangementen!#REF!,$A41,arrangementen!I:I),"")</f>
        <v/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arrangementen</vt:lpstr>
      <vt:lpstr>stats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2019-10-05T13:32:44Z</dcterms:created>
  <dcterms:modified xsi:type="dcterms:W3CDTF">2019-10-05T13:33:13Z</dcterms:modified>
</cp:coreProperties>
</file>