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66925"/>
  <xr:revisionPtr revIDLastSave="0" documentId="13_ncr:1_{EEECDF27-0790-45E4-B2CE-AAEB77EDBFF4}" xr6:coauthVersionLast="47" xr6:coauthVersionMax="47" xr10:uidLastSave="{00000000-0000-0000-0000-000000000000}"/>
  <bookViews>
    <workbookView xWindow="-120" yWindow="-120" windowWidth="29040" windowHeight="15720" xr2:uid="{0ABCFA5F-D832-4363-AD72-6A5134AFC119}"/>
  </bookViews>
  <sheets>
    <sheet name="berekenaar" sheetId="4" r:id="rId1"/>
    <sheet name="assumpties" sheetId="5" r:id="rId2"/>
    <sheet name="hulpcellen" sheetId="6" state="hidden" r:id="rId3"/>
  </sheets>
  <definedNames>
    <definedName name="solver_adj" localSheetId="0" hidden="1">berekenaar!$D$10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berekenaar!$H$15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5000</definedName>
    <definedName name="solver_ver" localSheetId="0" hidden="1">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" i="6" l="1"/>
  <c r="H15" i="4"/>
  <c r="A8" i="4"/>
  <c r="A9" i="4"/>
  <c r="A10" i="4"/>
  <c r="A11" i="4"/>
  <c r="B11" i="4"/>
  <c r="C5" i="6" s="1"/>
  <c r="A12" i="4"/>
  <c r="B12" i="4"/>
  <c r="B6" i="6" s="1"/>
  <c r="B5" i="4"/>
  <c r="H14" i="4" l="1"/>
  <c r="C6" i="6"/>
  <c r="D6" i="6" s="1"/>
  <c r="H13" i="4"/>
  <c r="B10" i="4"/>
  <c r="B9" i="4" s="1"/>
  <c r="B8" i="4" s="1"/>
  <c r="B5" i="6"/>
  <c r="C4" i="6" l="1"/>
  <c r="D5" i="6"/>
  <c r="B4" i="6"/>
  <c r="C3" i="6"/>
  <c r="B3" i="6"/>
  <c r="D4" i="6" l="1"/>
  <c r="D3" i="6"/>
  <c r="C2" i="6"/>
  <c r="D2" i="6" l="1"/>
  <c r="D7" i="6" l="1"/>
  <c r="H12" i="4" l="1"/>
  <c r="H11" i="4"/>
  <c r="H10" i="4"/>
  <c r="H9" i="4"/>
  <c r="H8" i="4"/>
  <c r="G10" i="4" l="1"/>
  <c r="D10" i="4" s="1"/>
  <c r="G9" i="4"/>
  <c r="D9" i="4" s="1"/>
  <c r="G11" i="4"/>
  <c r="G12" i="4"/>
  <c r="G8" i="4"/>
  <c r="F8" i="4" s="1"/>
  <c r="E8" i="4" s="1"/>
  <c r="F9" i="4" l="1"/>
  <c r="E9" i="4" s="1"/>
  <c r="D12" i="4"/>
  <c r="C12" i="4"/>
  <c r="F12" i="4"/>
  <c r="E12" i="4" s="1"/>
  <c r="D11" i="4"/>
  <c r="C11" i="4"/>
  <c r="F11" i="4"/>
  <c r="E11" i="4" s="1"/>
  <c r="F10" i="4"/>
  <c r="E10" i="4" s="1"/>
  <c r="C8" i="4"/>
  <c r="D8" i="4"/>
  <c r="C10" i="4"/>
  <c r="C9" i="4"/>
</calcChain>
</file>

<file path=xl/sharedStrings.xml><?xml version="1.0" encoding="utf-8"?>
<sst xmlns="http://schemas.openxmlformats.org/spreadsheetml/2006/main" count="79" uniqueCount="74">
  <si>
    <t>totaal</t>
  </si>
  <si>
    <t>tutti-spelers</t>
  </si>
  <si>
    <t>aanvoerders</t>
  </si>
  <si>
    <t>concertmeester</t>
  </si>
  <si>
    <t>fl</t>
  </si>
  <si>
    <t>hb</t>
  </si>
  <si>
    <t>kl</t>
  </si>
  <si>
    <t>fg</t>
  </si>
  <si>
    <t>hn</t>
  </si>
  <si>
    <t>tp</t>
  </si>
  <si>
    <t>tb</t>
  </si>
  <si>
    <t>tba</t>
  </si>
  <si>
    <t>v1</t>
  </si>
  <si>
    <t>v2</t>
  </si>
  <si>
    <t>va</t>
  </si>
  <si>
    <t>vc</t>
  </si>
  <si>
    <t>cb</t>
  </si>
  <si>
    <t>prc</t>
  </si>
  <si>
    <t>sx</t>
  </si>
  <si>
    <t>tr</t>
  </si>
  <si>
    <t>tc</t>
  </si>
  <si>
    <t>tt</t>
  </si>
  <si>
    <t>sum</t>
  </si>
  <si>
    <t>kilometervergoeding</t>
  </si>
  <si>
    <t>dir</t>
  </si>
  <si>
    <t>sol</t>
  </si>
  <si>
    <t>dirigent</t>
  </si>
  <si>
    <t>solist</t>
  </si>
  <si>
    <t>SALARISSCHALEN</t>
  </si>
  <si>
    <t>gage pp</t>
  </si>
  <si>
    <t>N</t>
  </si>
  <si>
    <t>bezetting</t>
  </si>
  <si>
    <t>hulpcellen</t>
  </si>
  <si>
    <t>REPETITIES / CONCERTEN</t>
  </si>
  <si>
    <t>incl. BTW</t>
  </si>
  <si>
    <t>BELASTING</t>
  </si>
  <si>
    <t>BTW-tarief</t>
  </si>
  <si>
    <t>uurtarief pp</t>
  </si>
  <si>
    <t>TIJD</t>
  </si>
  <si>
    <t>dr</t>
  </si>
  <si>
    <t>DEELNAME REPETITIES</t>
  </si>
  <si>
    <t>aantal repetities met solist(en)</t>
  </si>
  <si>
    <t>aantal repetitiedagen</t>
  </si>
  <si>
    <t>gerekende uren voor repetitiedag</t>
  </si>
  <si>
    <t>S</t>
  </si>
  <si>
    <t>A</t>
  </si>
  <si>
    <t>T</t>
  </si>
  <si>
    <t>B</t>
  </si>
  <si>
    <t>HOUT</t>
  </si>
  <si>
    <t>KOPER</t>
  </si>
  <si>
    <t>STRIJKERS</t>
  </si>
  <si>
    <t>SLAGWERK</t>
  </si>
  <si>
    <t>KOOR</t>
  </si>
  <si>
    <t>tarief repetitiedag</t>
  </si>
  <si>
    <t>eindtotaal</t>
  </si>
  <si>
    <t>gerekende uren voor concertdag</t>
  </si>
  <si>
    <t>aantal concertdagen</t>
  </si>
  <si>
    <t>gage voor repetitiedag t.o.v. concertdag</t>
  </si>
  <si>
    <t>tarief concertdag</t>
  </si>
  <si>
    <t>tegemoetkoming reiskosten</t>
  </si>
  <si>
    <t>TEGEMOETKOMING REISKOSTEN</t>
  </si>
  <si>
    <t>totaal aantal musici</t>
  </si>
  <si>
    <t>gemiddelde reisafstand (km)</t>
  </si>
  <si>
    <t>CONCERTMEESTER</t>
  </si>
  <si>
    <t>minimale ensemblegrootte voor concertmeester</t>
  </si>
  <si>
    <t>budget</t>
  </si>
  <si>
    <t>pauze per … uur</t>
  </si>
  <si>
    <t>concertdagen incl. diner</t>
  </si>
  <si>
    <t>ja</t>
  </si>
  <si>
    <t>dinerkosten</t>
  </si>
  <si>
    <t>séjour</t>
  </si>
  <si>
    <t>SEJOUR</t>
  </si>
  <si>
    <t>pauzekosten</t>
  </si>
  <si>
    <t>aantal repetities met tutti-spelers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</si>
</sst>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 * #,##0_ ;_ * \-#,##0_ ;_ * &quot;-&quot;??_ ;_ @_ "/>
    <numFmt numFmtId="165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Consolas"/>
      <family val="3"/>
    </font>
    <font>
      <sz val="10"/>
      <color theme="1"/>
      <name val="Consolas"/>
      <family val="3"/>
    </font>
    <font>
      <b/>
      <sz val="10"/>
      <color theme="1"/>
      <name val="Consolas"/>
      <family val="3"/>
    </font>
    <font>
      <sz val="10"/>
      <color rgb="FF006100"/>
      <name val="Consolas"/>
      <family val="3"/>
    </font>
    <font>
      <sz val="11"/>
      <color theme="0"/>
      <name val="Consolas"/>
      <family val="3"/>
    </font>
    <font>
      <b/>
      <sz val="10"/>
      <color rgb="FF3F3F3F"/>
      <name val="Consolas"/>
      <family val="3"/>
    </font>
    <font>
      <b/>
      <sz val="10"/>
      <color theme="0"/>
      <name val="Consolas"/>
      <family val="3"/>
    </font>
    <font>
      <b/>
      <sz val="10"/>
      <name val="Consolas"/>
      <family val="3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B2B2B2"/>
      </bottom>
      <diagonal/>
    </border>
    <border>
      <left/>
      <right/>
      <top style="medium">
        <color indexed="64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thin">
        <color rgb="FFB2B2B2"/>
      </bottom>
      <diagonal/>
    </border>
    <border>
      <left style="medium">
        <color indexed="64"/>
      </left>
      <right style="thin">
        <color rgb="FFB2B2B2"/>
      </right>
      <top style="thin">
        <color rgb="FFB2B2B2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medium">
        <color indexed="64"/>
      </bottom>
      <diagonal/>
    </border>
    <border>
      <left style="thin">
        <color rgb="FFB2B2B2"/>
      </left>
      <right style="medium">
        <color indexed="64"/>
      </right>
      <top style="thin">
        <color rgb="FFB2B2B2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double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indexed="64"/>
      </bottom>
      <diagonal/>
    </border>
    <border>
      <left/>
      <right style="thin">
        <color rgb="FF3F3F3F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4" fillId="3" borderId="2" applyNumberFormat="0" applyAlignment="0" applyProtection="0"/>
    <xf numFmtId="0" fontId="3" fillId="0" borderId="3" applyNumberFormat="0" applyFill="0" applyAlignment="0" applyProtection="0"/>
    <xf numFmtId="0" fontId="5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4" applyNumberFormat="0" applyFont="0" applyAlignment="0" applyProtection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6" fillId="4" borderId="0" xfId="5" applyFont="1"/>
    <xf numFmtId="0" fontId="7" fillId="0" borderId="0" xfId="0" applyFont="1"/>
    <xf numFmtId="0" fontId="8" fillId="0" borderId="0" xfId="0" applyFont="1"/>
    <xf numFmtId="0" fontId="9" fillId="2" borderId="0" xfId="2" applyFont="1"/>
    <xf numFmtId="43" fontId="8" fillId="0" borderId="0" xfId="1" applyFont="1"/>
    <xf numFmtId="165" fontId="8" fillId="0" borderId="0" xfId="1" applyNumberFormat="1" applyFont="1"/>
    <xf numFmtId="0" fontId="7" fillId="0" borderId="1" xfId="0" applyFont="1" applyBorder="1"/>
    <xf numFmtId="0" fontId="8" fillId="0" borderId="1" xfId="0" applyFont="1" applyBorder="1" applyAlignment="1">
      <alignment horizontal="right"/>
    </xf>
    <xf numFmtId="0" fontId="10" fillId="4" borderId="0" xfId="5" applyFont="1"/>
    <xf numFmtId="0" fontId="8" fillId="0" borderId="0" xfId="0" applyFont="1" applyAlignment="1">
      <alignment horizontal="right"/>
    </xf>
    <xf numFmtId="0" fontId="11" fillId="3" borderId="2" xfId="3" applyFont="1"/>
    <xf numFmtId="0" fontId="7" fillId="5" borderId="0" xfId="6" applyFont="1"/>
    <xf numFmtId="165" fontId="11" fillId="3" borderId="2" xfId="3" applyNumberFormat="1" applyFont="1"/>
    <xf numFmtId="0" fontId="7" fillId="0" borderId="0" xfId="0" applyFont="1" applyAlignment="1">
      <alignment horizontal="right"/>
    </xf>
    <xf numFmtId="43" fontId="8" fillId="0" borderId="0" xfId="1" applyFont="1" applyAlignment="1">
      <alignment horizontal="right"/>
    </xf>
    <xf numFmtId="0" fontId="6" fillId="4" borderId="0" xfId="5" applyFont="1" applyAlignment="1">
      <alignment horizontal="right" wrapText="1"/>
    </xf>
    <xf numFmtId="0" fontId="6" fillId="4" borderId="0" xfId="5" applyFont="1" applyAlignment="1">
      <alignment horizontal="right"/>
    </xf>
    <xf numFmtId="0" fontId="7" fillId="0" borderId="1" xfId="0" applyFont="1" applyBorder="1" applyAlignment="1">
      <alignment horizontal="right"/>
    </xf>
    <xf numFmtId="0" fontId="6" fillId="6" borderId="0" xfId="7" applyFont="1"/>
    <xf numFmtId="0" fontId="7" fillId="7" borderId="0" xfId="8" applyFont="1"/>
    <xf numFmtId="43" fontId="12" fillId="6" borderId="0" xfId="7" applyNumberFormat="1" applyFont="1"/>
    <xf numFmtId="164" fontId="9" fillId="2" borderId="0" xfId="1" applyNumberFormat="1" applyFont="1" applyFill="1"/>
    <xf numFmtId="0" fontId="7" fillId="0" borderId="0" xfId="0" applyFont="1" applyAlignment="1">
      <alignment wrapText="1"/>
    </xf>
    <xf numFmtId="43" fontId="11" fillId="3" borderId="2" xfId="1" applyFont="1" applyFill="1" applyBorder="1" applyAlignment="1">
      <alignment horizontal="right"/>
    </xf>
    <xf numFmtId="0" fontId="9" fillId="2" borderId="5" xfId="2" applyFont="1" applyBorder="1"/>
    <xf numFmtId="0" fontId="9" fillId="2" borderId="6" xfId="2" applyFont="1" applyBorder="1"/>
    <xf numFmtId="0" fontId="9" fillId="2" borderId="7" xfId="2" applyFont="1" applyBorder="1"/>
    <xf numFmtId="0" fontId="8" fillId="8" borderId="11" xfId="9" applyFont="1" applyBorder="1"/>
    <xf numFmtId="0" fontId="8" fillId="8" borderId="12" xfId="9" applyFont="1" applyBorder="1"/>
    <xf numFmtId="0" fontId="8" fillId="8" borderId="13" xfId="9" applyFont="1" applyBorder="1"/>
    <xf numFmtId="0" fontId="10" fillId="4" borderId="0" xfId="5" applyFont="1" applyAlignment="1"/>
    <xf numFmtId="43" fontId="13" fillId="3" borderId="2" xfId="1" applyFont="1" applyFill="1" applyBorder="1" applyAlignment="1">
      <alignment horizontal="right"/>
    </xf>
    <xf numFmtId="43" fontId="8" fillId="3" borderId="3" xfId="4" applyNumberFormat="1" applyFont="1" applyFill="1" applyAlignment="1">
      <alignment horizontal="right"/>
    </xf>
    <xf numFmtId="43" fontId="8" fillId="0" borderId="0" xfId="1" applyFont="1" applyAlignment="1">
      <alignment horizontal="left"/>
    </xf>
    <xf numFmtId="0" fontId="6" fillId="4" borderId="0" xfId="5" applyFont="1" applyAlignment="1">
      <alignment wrapText="1"/>
    </xf>
    <xf numFmtId="0" fontId="6" fillId="4" borderId="0" xfId="5" applyFont="1" applyAlignment="1"/>
    <xf numFmtId="43" fontId="11" fillId="3" borderId="15" xfId="3" applyNumberFormat="1" applyFont="1" applyBorder="1" applyAlignment="1">
      <alignment horizontal="right"/>
    </xf>
    <xf numFmtId="0" fontId="7" fillId="0" borderId="14" xfId="0" applyFont="1" applyBorder="1"/>
    <xf numFmtId="43" fontId="11" fillId="3" borderId="16" xfId="3" applyNumberFormat="1" applyFont="1" applyBorder="1" applyAlignment="1">
      <alignment horizontal="right"/>
    </xf>
    <xf numFmtId="0" fontId="7" fillId="5" borderId="14" xfId="6" applyFont="1" applyBorder="1"/>
    <xf numFmtId="0" fontId="11" fillId="3" borderId="16" xfId="3" applyFont="1" applyBorder="1"/>
    <xf numFmtId="43" fontId="11" fillId="3" borderId="16" xfId="1" applyFont="1" applyFill="1" applyBorder="1" applyAlignment="1">
      <alignment horizontal="right"/>
    </xf>
    <xf numFmtId="0" fontId="7" fillId="0" borderId="18" xfId="0" applyFont="1" applyBorder="1"/>
    <xf numFmtId="0" fontId="7" fillId="0" borderId="18" xfId="0" applyFont="1" applyBorder="1" applyAlignment="1">
      <alignment horizontal="right"/>
    </xf>
    <xf numFmtId="0" fontId="8" fillId="0" borderId="17" xfId="0" applyFont="1" applyBorder="1" applyAlignment="1">
      <alignment horizontal="right"/>
    </xf>
    <xf numFmtId="0" fontId="9" fillId="2" borderId="0" xfId="2" applyFont="1" applyAlignment="1">
      <alignment horizontal="right"/>
    </xf>
    <xf numFmtId="9" fontId="9" fillId="2" borderId="0" xfId="2" applyNumberFormat="1" applyFont="1" applyAlignment="1">
      <alignment horizontal="right"/>
    </xf>
    <xf numFmtId="44" fontId="9" fillId="2" borderId="0" xfId="10" applyFont="1" applyFill="1" applyAlignment="1">
      <alignment horizontal="right"/>
    </xf>
    <xf numFmtId="44" fontId="9" fillId="2" borderId="0" xfId="2" applyNumberFormat="1" applyFont="1" applyAlignment="1">
      <alignment horizontal="right"/>
    </xf>
    <xf numFmtId="0" fontId="8" fillId="8" borderId="8" xfId="9" applyFont="1" applyBorder="1" applyAlignment="1">
      <alignment horizontal="center"/>
    </xf>
    <xf numFmtId="0" fontId="8" fillId="8" borderId="9" xfId="9" applyFont="1" applyBorder="1" applyAlignment="1">
      <alignment horizontal="center"/>
    </xf>
    <xf numFmtId="0" fontId="8" fillId="8" borderId="10" xfId="9" applyFont="1" applyBorder="1" applyAlignment="1">
      <alignment horizontal="center"/>
    </xf>
  </cellXfs>
  <cellStyles count="11">
    <cellStyle name="20% - Accent1" xfId="6" builtinId="30"/>
    <cellStyle name="20% - Accent2" xfId="8" builtinId="34"/>
    <cellStyle name="Accent1" xfId="5" builtinId="29"/>
    <cellStyle name="Accent2" xfId="7" builtinId="33"/>
    <cellStyle name="Goed" xfId="2" builtinId="26"/>
    <cellStyle name="Komma" xfId="1" builtinId="3"/>
    <cellStyle name="Notitie" xfId="9" builtinId="10"/>
    <cellStyle name="Standaard" xfId="0" builtinId="0"/>
    <cellStyle name="Totaal" xfId="4" builtinId="25"/>
    <cellStyle name="Uitvoer" xfId="3" builtinId="21"/>
    <cellStyle name="Valuta" xfId="10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9118D-2A17-4ED8-BFE7-B941F605CB48}">
  <dimension ref="A1:AH16"/>
  <sheetViews>
    <sheetView tabSelected="1" workbookViewId="0"/>
  </sheetViews>
  <sheetFormatPr defaultRowHeight="15" x14ac:dyDescent="0.25"/>
  <cols>
    <col min="1" max="1" width="24.42578125" style="2" bestFit="1" customWidth="1"/>
    <col min="2" max="2" width="10" style="2" bestFit="1" customWidth="1"/>
    <col min="3" max="3" width="13.140625" style="14" bestFit="1" customWidth="1"/>
    <col min="4" max="4" width="11.28515625" style="14" customWidth="1"/>
    <col min="5" max="5" width="11" style="14" customWidth="1"/>
    <col min="6" max="6" width="12" style="14" bestFit="1" customWidth="1"/>
    <col min="7" max="7" width="13.42578125" style="14" customWidth="1"/>
    <col min="8" max="8" width="13.140625" style="2" bestFit="1" customWidth="1"/>
    <col min="9" max="10" width="4" style="2" bestFit="1" customWidth="1"/>
    <col min="11" max="14" width="2" style="2" bestFit="1" customWidth="1"/>
    <col min="15" max="22" width="3" style="2" bestFit="1" customWidth="1"/>
    <col min="23" max="23" width="4" style="2" bestFit="1" customWidth="1"/>
    <col min="24" max="28" width="3" style="2" bestFit="1" customWidth="1"/>
    <col min="29" max="29" width="3" style="2" customWidth="1"/>
    <col min="30" max="30" width="5.5703125" style="2" customWidth="1"/>
    <col min="35" max="16384" width="9.140625" style="2"/>
  </cols>
  <sheetData>
    <row r="1" spans="1:30" ht="15" customHeight="1" x14ac:dyDescent="0.25">
      <c r="A1" s="3" t="s">
        <v>65</v>
      </c>
      <c r="B1" s="22">
        <v>265150</v>
      </c>
      <c r="K1" s="50" t="s">
        <v>52</v>
      </c>
      <c r="L1" s="51"/>
      <c r="M1" s="51"/>
      <c r="N1" s="52"/>
      <c r="O1" s="50" t="s">
        <v>48</v>
      </c>
      <c r="P1" s="51"/>
      <c r="Q1" s="51"/>
      <c r="R1" s="51"/>
      <c r="S1" s="52"/>
      <c r="T1" s="50" t="s">
        <v>49</v>
      </c>
      <c r="U1" s="51"/>
      <c r="V1" s="51"/>
      <c r="W1" s="52"/>
      <c r="X1" s="50" t="s">
        <v>50</v>
      </c>
      <c r="Y1" s="51"/>
      <c r="Z1" s="51"/>
      <c r="AA1" s="51"/>
      <c r="AB1" s="52"/>
      <c r="AC1" s="50" t="s">
        <v>51</v>
      </c>
      <c r="AD1" s="52"/>
    </row>
    <row r="2" spans="1:30" ht="15.75" thickBot="1" x14ac:dyDescent="0.3">
      <c r="A2" s="34" t="s">
        <v>42</v>
      </c>
      <c r="B2" s="4">
        <v>3</v>
      </c>
      <c r="H2" s="14"/>
      <c r="I2" s="3" t="s">
        <v>25</v>
      </c>
      <c r="J2" s="3" t="s">
        <v>24</v>
      </c>
      <c r="K2" s="28" t="s">
        <v>44</v>
      </c>
      <c r="L2" s="29" t="s">
        <v>45</v>
      </c>
      <c r="M2" s="29" t="s">
        <v>46</v>
      </c>
      <c r="N2" s="30" t="s">
        <v>47</v>
      </c>
      <c r="O2" s="28" t="s">
        <v>4</v>
      </c>
      <c r="P2" s="29" t="s">
        <v>5</v>
      </c>
      <c r="Q2" s="29" t="s">
        <v>6</v>
      </c>
      <c r="R2" s="29" t="s">
        <v>7</v>
      </c>
      <c r="S2" s="30" t="s">
        <v>18</v>
      </c>
      <c r="T2" s="28" t="s">
        <v>8</v>
      </c>
      <c r="U2" s="29" t="s">
        <v>9</v>
      </c>
      <c r="V2" s="29" t="s">
        <v>10</v>
      </c>
      <c r="W2" s="30" t="s">
        <v>11</v>
      </c>
      <c r="X2" s="28" t="s">
        <v>12</v>
      </c>
      <c r="Y2" s="29" t="s">
        <v>13</v>
      </c>
      <c r="Z2" s="29" t="s">
        <v>14</v>
      </c>
      <c r="AA2" s="29" t="s">
        <v>15</v>
      </c>
      <c r="AB2" s="30" t="s">
        <v>16</v>
      </c>
      <c r="AC2" s="28" t="s">
        <v>39</v>
      </c>
      <c r="AD2" s="30" t="s">
        <v>17</v>
      </c>
    </row>
    <row r="3" spans="1:30" ht="15.75" thickBot="1" x14ac:dyDescent="0.3">
      <c r="A3" s="5" t="s">
        <v>56</v>
      </c>
      <c r="B3" s="4">
        <v>12</v>
      </c>
      <c r="H3" s="10" t="s">
        <v>31</v>
      </c>
      <c r="I3" s="25">
        <v>1</v>
      </c>
      <c r="J3" s="26">
        <v>1</v>
      </c>
      <c r="K3" s="25">
        <v>0</v>
      </c>
      <c r="L3" s="27">
        <v>0</v>
      </c>
      <c r="M3" s="27">
        <v>0</v>
      </c>
      <c r="N3" s="26">
        <v>0</v>
      </c>
      <c r="O3" s="25">
        <v>2</v>
      </c>
      <c r="P3" s="27">
        <v>2</v>
      </c>
      <c r="Q3" s="27">
        <v>2</v>
      </c>
      <c r="R3" s="27">
        <v>2</v>
      </c>
      <c r="S3" s="27">
        <v>0</v>
      </c>
      <c r="T3" s="27">
        <v>4</v>
      </c>
      <c r="U3" s="27">
        <v>3</v>
      </c>
      <c r="V3" s="27">
        <v>3</v>
      </c>
      <c r="W3" s="26">
        <v>1</v>
      </c>
      <c r="X3" s="25">
        <v>8</v>
      </c>
      <c r="Y3" s="27">
        <v>6</v>
      </c>
      <c r="Z3" s="27">
        <v>4</v>
      </c>
      <c r="AA3" s="27">
        <v>4</v>
      </c>
      <c r="AB3" s="26">
        <v>3</v>
      </c>
      <c r="AC3" s="25">
        <v>1</v>
      </c>
      <c r="AD3" s="26">
        <v>2</v>
      </c>
    </row>
    <row r="5" spans="1:30" x14ac:dyDescent="0.25">
      <c r="A5" s="10" t="s">
        <v>61</v>
      </c>
      <c r="B5" s="11">
        <f>SUM(I3:AD3)</f>
        <v>49</v>
      </c>
      <c r="C5" s="15"/>
      <c r="D5" s="15"/>
      <c r="E5" s="15"/>
      <c r="F5" s="15"/>
      <c r="G5" s="15"/>
    </row>
    <row r="6" spans="1:30" x14ac:dyDescent="0.25">
      <c r="A6" s="5"/>
      <c r="B6" s="5"/>
      <c r="C6" s="15"/>
      <c r="D6" s="15"/>
      <c r="E6" s="15"/>
      <c r="F6" s="15"/>
      <c r="G6" s="15"/>
    </row>
    <row r="7" spans="1:30" s="1" customFormat="1" ht="25.5" x14ac:dyDescent="0.2">
      <c r="B7" s="1" t="s">
        <v>30</v>
      </c>
      <c r="C7" s="16" t="s">
        <v>53</v>
      </c>
      <c r="D7" s="16" t="s">
        <v>58</v>
      </c>
      <c r="E7" s="16" t="s">
        <v>37</v>
      </c>
      <c r="F7" s="16" t="s">
        <v>29</v>
      </c>
      <c r="G7" s="1" t="s">
        <v>0</v>
      </c>
      <c r="H7" s="17" t="s">
        <v>34</v>
      </c>
    </row>
    <row r="8" spans="1:30" x14ac:dyDescent="0.25">
      <c r="A8" s="12" t="str">
        <f>hulpcellen!A2</f>
        <v>tutti-spelers</v>
      </c>
      <c r="B8" s="11">
        <f>B5-SUM(B9:B12)</f>
        <v>32</v>
      </c>
      <c r="C8" s="24">
        <f>IFERROR(((hulpcellen!B2/hulpcellen!D2)*G8)/$B8/$B$2,"")</f>
        <v>107.68507142330334</v>
      </c>
      <c r="D8" s="24">
        <f>IFERROR(((hulpcellen!C2/hulpcellen!D2)*G8)/$B8/$B$3,"")</f>
        <v>323.05521426991004</v>
      </c>
      <c r="E8" s="24">
        <f>IFERROR(F8/((assumpties!$B$15*assumpties!$B$2)+(berekenaar!$B$3*assumpties!$B$3)),"")</f>
        <v>49.99664030367655</v>
      </c>
      <c r="F8" s="24">
        <f>IFERROR(G8/B8,"")</f>
        <v>4199.7177855088303</v>
      </c>
      <c r="G8" s="24">
        <f>IFERROR(H8/(1+assumpties!$B$26),"")</f>
        <v>134390.96913628257</v>
      </c>
      <c r="H8" s="24">
        <f>IFERROR((hulpcellen!D2/hulpcellen!$D$7)*($H$15-SUM($H$13:$H$14)),"")</f>
        <v>146486.156358548</v>
      </c>
    </row>
    <row r="9" spans="1:30" x14ac:dyDescent="0.25">
      <c r="A9" s="12" t="str">
        <f>hulpcellen!A3</f>
        <v>aanvoerders</v>
      </c>
      <c r="B9" s="11">
        <f>COUNTIF(K3:AD3,"&gt;0")-B10</f>
        <v>14</v>
      </c>
      <c r="C9" s="24">
        <f>IFERROR(((hulpcellen!B3/hulpcellen!D3)*G9)/$B9/$B$2,"")</f>
        <v>171.02923108407003</v>
      </c>
      <c r="D9" s="24">
        <f>IFERROR(((hulpcellen!C3/hulpcellen!D3)*G9)/$B9/$B$3,"")</f>
        <v>342.05846216814007</v>
      </c>
      <c r="E9" s="24">
        <f>IFERROR(F9/(($B$2*assumpties!$B$2)+(berekenaar!$B$3*assumpties!$B$3)),"")</f>
        <v>51.308769325221014</v>
      </c>
      <c r="F9" s="24">
        <f>IFERROR(G9/B9,"")</f>
        <v>4617.7892392698914</v>
      </c>
      <c r="G9" s="24">
        <f>IFERROR(H9/(1+assumpties!$B$26),"")</f>
        <v>64649.049349778477</v>
      </c>
      <c r="H9" s="24">
        <f>IFERROR((hulpcellen!D3/hulpcellen!$D$7)*($H$15-SUM($H$13:$H$14)),"")</f>
        <v>70467.463791258546</v>
      </c>
    </row>
    <row r="10" spans="1:30" x14ac:dyDescent="0.25">
      <c r="A10" s="12" t="str">
        <f>hulpcellen!A4</f>
        <v>concertmeester</v>
      </c>
      <c r="B10" s="11">
        <f>IF(B5&lt;assumpties!$B$7,0,1)</f>
        <v>1</v>
      </c>
      <c r="C10" s="24">
        <f>IFERROR(((hulpcellen!B4/hulpcellen!D4)*G10)/$B10/$B$2,"")</f>
        <v>190.03247898229998</v>
      </c>
      <c r="D10" s="24">
        <f>IFERROR(((hulpcellen!C4/hulpcellen!D4)*G10)/$B10/$B$3,"")</f>
        <v>380.06495796459996</v>
      </c>
      <c r="E10" s="24">
        <f>IFERROR(F10/(($B$2*assumpties!$B$2)+(berekenaar!$B$3*assumpties!$B$3)),"")</f>
        <v>57.009743694690002</v>
      </c>
      <c r="F10" s="32">
        <f>IFERROR(G10/B10,"")</f>
        <v>5130.8769325221001</v>
      </c>
      <c r="G10" s="24">
        <f>IFERROR(H10/(1+assumpties!$B$26),"")</f>
        <v>5130.8769325221001</v>
      </c>
      <c r="H10" s="24">
        <f>IFERROR((hulpcellen!D4/hulpcellen!$D$7)*($H$15-SUM($H$13:$H$14)),"")</f>
        <v>5592.6558564490897</v>
      </c>
    </row>
    <row r="11" spans="1:30" x14ac:dyDescent="0.25">
      <c r="A11" s="12" t="str">
        <f>hulpcellen!A5</f>
        <v>dirigent</v>
      </c>
      <c r="B11" s="11">
        <f>J3</f>
        <v>1</v>
      </c>
      <c r="C11" s="24">
        <f>IFERROR(((hulpcellen!B5/hulpcellen!D5)*G11)/$B11/$B$2,"")</f>
        <v>285.04871847345004</v>
      </c>
      <c r="D11" s="24">
        <f>IFERROR(((hulpcellen!C5/hulpcellen!D5)*G11)/$B11/$B$3,"")</f>
        <v>570.09743694690007</v>
      </c>
      <c r="E11" s="24">
        <f>IFERROR(F11/(($B$2*assumpties!$B$2)+(berekenaar!$B$3*assumpties!$B$3)),"")</f>
        <v>85.514615542035017</v>
      </c>
      <c r="F11" s="32">
        <f>IFERROR(G11/B11,"")</f>
        <v>7696.3153987831511</v>
      </c>
      <c r="G11" s="24">
        <f>IFERROR(H11/(1+assumpties!$B$26),"")</f>
        <v>7696.3153987831511</v>
      </c>
      <c r="H11" s="24">
        <f>IFERROR((hulpcellen!D5/hulpcellen!$D$7)*($H$15-SUM($H$13:$H$14)),"")</f>
        <v>8388.9837846736355</v>
      </c>
    </row>
    <row r="12" spans="1:30" x14ac:dyDescent="0.25">
      <c r="A12" s="40" t="str">
        <f>hulpcellen!A6</f>
        <v>solist</v>
      </c>
      <c r="B12" s="41">
        <f>I3</f>
        <v>1</v>
      </c>
      <c r="C12" s="42">
        <f>IFERROR(((hulpcellen!B6/hulpcellen!D6)*G12)/$B12,"")</f>
        <v>760.12991592920014</v>
      </c>
      <c r="D12" s="42">
        <f>IFERROR(((hulpcellen!C6/hulpcellen!D6)*G12)/$B12/$B$3,"")</f>
        <v>1520.2598318584003</v>
      </c>
      <c r="E12" s="42">
        <f>IFERROR(F12/((assumpties!$B$16*assumpties!$B$2)+(berekenaar!$B$3*assumpties!$B$3)),"")</f>
        <v>243.63138331064104</v>
      </c>
      <c r="F12" s="42">
        <f>IFERROR(G12/B12,"")</f>
        <v>19003.247898230002</v>
      </c>
      <c r="G12" s="42">
        <f>IFERROR(H12/(1+assumpties!$B$26),"")</f>
        <v>19003.247898230002</v>
      </c>
      <c r="H12" s="24">
        <f>IFERROR((hulpcellen!D6/hulpcellen!$D$7)*($H$15-SUM($H$13:$H$14)),"")</f>
        <v>20713.540209070703</v>
      </c>
    </row>
    <row r="13" spans="1:30" s="38" customFormat="1" ht="12.75" x14ac:dyDescent="0.2">
      <c r="A13" s="43"/>
      <c r="B13" s="43"/>
      <c r="C13" s="44"/>
      <c r="D13" s="44"/>
      <c r="E13" s="43"/>
      <c r="F13" s="43"/>
      <c r="G13" s="45" t="s">
        <v>70</v>
      </c>
      <c r="H13" s="39">
        <f>(ROUNDDOWN((B2*assumpties!B2)/assumpties!B18,0)*B5)+IF(assumpties!B20="ja",berekenaar!B3*assumpties!B21*berekenaar!B5,0)</f>
        <v>5145</v>
      </c>
    </row>
    <row r="14" spans="1:30" s="7" customFormat="1" ht="13.5" thickBot="1" x14ac:dyDescent="0.25">
      <c r="C14" s="18"/>
      <c r="D14" s="18"/>
      <c r="G14" s="8" t="s">
        <v>59</v>
      </c>
      <c r="H14" s="37">
        <f>((B5-B12)*(assumpties!B23*2*SUM(berekenaar!B2:B3))*assumpties!B24)+(B12*(assumpties!B23*2*(assumpties!B16+berekenaar!B3)*assumpties!B24))</f>
        <v>8356.2000000000007</v>
      </c>
    </row>
    <row r="15" spans="1:30" ht="16.5" thickTop="1" thickBot="1" x14ac:dyDescent="0.3">
      <c r="G15" s="10" t="s">
        <v>54</v>
      </c>
      <c r="H15" s="33">
        <f>B1</f>
        <v>265150</v>
      </c>
    </row>
    <row r="16" spans="1:30" ht="15.75" thickTop="1" x14ac:dyDescent="0.25"/>
  </sheetData>
  <mergeCells count="5">
    <mergeCell ref="K1:N1"/>
    <mergeCell ref="O1:S1"/>
    <mergeCell ref="T1:W1"/>
    <mergeCell ref="X1:AB1"/>
    <mergeCell ref="AC1:AD1"/>
  </mergeCells>
  <pageMargins left="0.7" right="0.7" top="0.75" bottom="0.75" header="0.3" footer="0.3"/>
  <pageSetup orientation="portrait" r:id="rId1"/>
  <ignoredErrors>
    <ignoredError sqref="H1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E6F26-1D90-4FF4-99D0-E41FD6D74F66}">
  <dimension ref="A1:B26"/>
  <sheetViews>
    <sheetView workbookViewId="0">
      <selection sqref="A1:B3"/>
    </sheetView>
  </sheetViews>
  <sheetFormatPr defaultRowHeight="12.75" x14ac:dyDescent="0.2"/>
  <cols>
    <col min="1" max="1" width="26.42578125" style="23" customWidth="1"/>
    <col min="2" max="2" width="9" style="14" bestFit="1" customWidth="1"/>
    <col min="3" max="16384" width="9.140625" style="2"/>
  </cols>
  <sheetData>
    <row r="1" spans="1:2" s="9" customFormat="1" ht="15" x14ac:dyDescent="0.25">
      <c r="A1" s="35" t="s">
        <v>38</v>
      </c>
      <c r="B1" s="17"/>
    </row>
    <row r="2" spans="1:2" ht="25.5" x14ac:dyDescent="0.2">
      <c r="A2" s="23" t="s">
        <v>43</v>
      </c>
      <c r="B2" s="46">
        <v>6</v>
      </c>
    </row>
    <row r="3" spans="1:2" ht="25.5" x14ac:dyDescent="0.2">
      <c r="A3" s="23" t="s">
        <v>55</v>
      </c>
      <c r="B3" s="46">
        <v>6</v>
      </c>
    </row>
    <row r="4" spans="1:2" s="9" customFormat="1" ht="20.25" customHeight="1" x14ac:dyDescent="0.25">
      <c r="A4" s="35" t="s">
        <v>33</v>
      </c>
      <c r="B4" s="17"/>
    </row>
    <row r="5" spans="1:2" ht="25.5" x14ac:dyDescent="0.2">
      <c r="A5" s="23" t="s">
        <v>57</v>
      </c>
      <c r="B5" s="47">
        <v>0.5</v>
      </c>
    </row>
    <row r="6" spans="1:2" s="9" customFormat="1" ht="15" x14ac:dyDescent="0.25">
      <c r="A6" s="35" t="s">
        <v>63</v>
      </c>
      <c r="B6" s="17"/>
    </row>
    <row r="7" spans="1:2" ht="25.5" x14ac:dyDescent="0.2">
      <c r="A7" s="23" t="s">
        <v>64</v>
      </c>
      <c r="B7" s="46">
        <v>10</v>
      </c>
    </row>
    <row r="8" spans="1:2" s="9" customFormat="1" ht="15" x14ac:dyDescent="0.25">
      <c r="A8" s="35" t="s">
        <v>28</v>
      </c>
      <c r="B8" s="17"/>
    </row>
    <row r="9" spans="1:2" x14ac:dyDescent="0.2">
      <c r="A9" s="23" t="s">
        <v>1</v>
      </c>
      <c r="B9" s="47">
        <v>0.85</v>
      </c>
    </row>
    <row r="10" spans="1:2" x14ac:dyDescent="0.2">
      <c r="A10" s="23" t="s">
        <v>2</v>
      </c>
      <c r="B10" s="47">
        <v>0.9</v>
      </c>
    </row>
    <row r="11" spans="1:2" x14ac:dyDescent="0.2">
      <c r="A11" s="23" t="s">
        <v>3</v>
      </c>
      <c r="B11" s="47">
        <v>1</v>
      </c>
    </row>
    <row r="12" spans="1:2" x14ac:dyDescent="0.2">
      <c r="A12" s="23" t="s">
        <v>26</v>
      </c>
      <c r="B12" s="47">
        <v>1.5</v>
      </c>
    </row>
    <row r="13" spans="1:2" x14ac:dyDescent="0.2">
      <c r="A13" s="23" t="s">
        <v>27</v>
      </c>
      <c r="B13" s="47">
        <v>4</v>
      </c>
    </row>
    <row r="14" spans="1:2" s="9" customFormat="1" ht="15" x14ac:dyDescent="0.25">
      <c r="A14" s="35" t="s">
        <v>40</v>
      </c>
      <c r="B14" s="17"/>
    </row>
    <row r="15" spans="1:2" ht="25.5" x14ac:dyDescent="0.2">
      <c r="A15" s="23" t="s">
        <v>73</v>
      </c>
      <c r="B15" s="46">
        <v>2</v>
      </c>
    </row>
    <row r="16" spans="1:2" ht="25.5" x14ac:dyDescent="0.2">
      <c r="A16" s="23" t="s">
        <v>41</v>
      </c>
      <c r="B16" s="46">
        <v>1</v>
      </c>
    </row>
    <row r="17" spans="1:2" s="9" customFormat="1" ht="15" x14ac:dyDescent="0.25">
      <c r="A17" s="35" t="s">
        <v>71</v>
      </c>
      <c r="B17" s="17"/>
    </row>
    <row r="18" spans="1:2" x14ac:dyDescent="0.2">
      <c r="A18" s="23" t="s">
        <v>66</v>
      </c>
      <c r="B18" s="46">
        <v>2</v>
      </c>
    </row>
    <row r="19" spans="1:2" x14ac:dyDescent="0.2">
      <c r="A19" s="23" t="s">
        <v>72</v>
      </c>
      <c r="B19" s="48">
        <v>2</v>
      </c>
    </row>
    <row r="20" spans="1:2" x14ac:dyDescent="0.2">
      <c r="A20" s="23" t="s">
        <v>67</v>
      </c>
      <c r="B20" s="46" t="s">
        <v>68</v>
      </c>
    </row>
    <row r="21" spans="1:2" x14ac:dyDescent="0.2">
      <c r="A21" s="23" t="s">
        <v>69</v>
      </c>
      <c r="B21" s="48">
        <v>8</v>
      </c>
    </row>
    <row r="22" spans="1:2" s="31" customFormat="1" ht="15" x14ac:dyDescent="0.25">
      <c r="A22" s="36" t="s">
        <v>60</v>
      </c>
      <c r="B22" s="17"/>
    </row>
    <row r="23" spans="1:2" ht="25.5" x14ac:dyDescent="0.2">
      <c r="A23" s="23" t="s">
        <v>62</v>
      </c>
      <c r="B23" s="46">
        <v>30</v>
      </c>
    </row>
    <row r="24" spans="1:2" x14ac:dyDescent="0.2">
      <c r="A24" s="23" t="s">
        <v>23</v>
      </c>
      <c r="B24" s="49">
        <v>0.19</v>
      </c>
    </row>
    <row r="25" spans="1:2" s="9" customFormat="1" ht="15" x14ac:dyDescent="0.25">
      <c r="A25" s="35" t="s">
        <v>35</v>
      </c>
      <c r="B25" s="17"/>
    </row>
    <row r="26" spans="1:2" x14ac:dyDescent="0.2">
      <c r="A26" s="23" t="s">
        <v>36</v>
      </c>
      <c r="B26" s="47">
        <v>0.09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57288-8572-48B6-BE4F-6FD365489ECF}">
  <dimension ref="A1:D7"/>
  <sheetViews>
    <sheetView workbookViewId="0">
      <selection activeCell="B2" sqref="B2"/>
    </sheetView>
  </sheetViews>
  <sheetFormatPr defaultRowHeight="15" x14ac:dyDescent="0.25"/>
  <cols>
    <col min="1" max="1" width="15.140625" style="2" bestFit="1" customWidth="1"/>
    <col min="2" max="2" width="7" style="2" bestFit="1" customWidth="1"/>
    <col min="3" max="4" width="8" style="2" bestFit="1" customWidth="1"/>
  </cols>
  <sheetData>
    <row r="1" spans="1:4" x14ac:dyDescent="0.25">
      <c r="A1" s="21" t="s">
        <v>32</v>
      </c>
      <c r="B1" s="19" t="s">
        <v>19</v>
      </c>
      <c r="C1" s="19" t="s">
        <v>20</v>
      </c>
      <c r="D1" s="19" t="s">
        <v>21</v>
      </c>
    </row>
    <row r="2" spans="1:4" x14ac:dyDescent="0.25">
      <c r="A2" s="20" t="s">
        <v>1</v>
      </c>
      <c r="B2" s="13">
        <f>(berekenaar!B8*assumpties!$B$15*assumpties!B9)*assumpties!$B$5</f>
        <v>27.2</v>
      </c>
      <c r="C2" s="13">
        <f>(berekenaar!B8*berekenaar!$B$3*assumpties!B9)</f>
        <v>326.39999999999998</v>
      </c>
      <c r="D2" s="13">
        <f>SUM(B2:C2)</f>
        <v>353.59999999999997</v>
      </c>
    </row>
    <row r="3" spans="1:4" x14ac:dyDescent="0.25">
      <c r="A3" s="20" t="s">
        <v>2</v>
      </c>
      <c r="B3" s="13">
        <f>(berekenaar!B9*berekenaar!$B$2*assumpties!B10)*assumpties!$B$5</f>
        <v>18.900000000000002</v>
      </c>
      <c r="C3" s="13">
        <f>(berekenaar!B9*berekenaar!$B$3*assumpties!B10)</f>
        <v>151.20000000000002</v>
      </c>
      <c r="D3" s="13">
        <f>SUM(B3:C3)</f>
        <v>170.10000000000002</v>
      </c>
    </row>
    <row r="4" spans="1:4" x14ac:dyDescent="0.25">
      <c r="A4" s="20" t="s">
        <v>3</v>
      </c>
      <c r="B4" s="13">
        <f>(berekenaar!B10*berekenaar!$B$2*assumpties!B11)*assumpties!$B$5</f>
        <v>1.5</v>
      </c>
      <c r="C4" s="13">
        <f>(berekenaar!B10*berekenaar!$B$3*assumpties!B11)</f>
        <v>12</v>
      </c>
      <c r="D4" s="13">
        <f>SUM(B4:C4)</f>
        <v>13.5</v>
      </c>
    </row>
    <row r="5" spans="1:4" x14ac:dyDescent="0.25">
      <c r="A5" s="20" t="s">
        <v>26</v>
      </c>
      <c r="B5" s="13">
        <f>(berekenaar!B11*berekenaar!$B$2*assumpties!B12)*assumpties!$B$5</f>
        <v>2.25</v>
      </c>
      <c r="C5" s="13">
        <f>(berekenaar!B11*berekenaar!$B$3*assumpties!B12)</f>
        <v>18</v>
      </c>
      <c r="D5" s="13">
        <f>SUM(B5:C5)</f>
        <v>20.25</v>
      </c>
    </row>
    <row r="6" spans="1:4" x14ac:dyDescent="0.25">
      <c r="A6" s="20" t="s">
        <v>27</v>
      </c>
      <c r="B6" s="13">
        <f>(berekenaar!B12*assumpties!$B$16*assumpties!B13)*assumpties!$B$5</f>
        <v>2</v>
      </c>
      <c r="C6" s="13">
        <f>(berekenaar!B12*berekenaar!$B$3*assumpties!B13)</f>
        <v>48</v>
      </c>
      <c r="D6" s="13">
        <f>SUM(B6:C6)</f>
        <v>50</v>
      </c>
    </row>
    <row r="7" spans="1:4" x14ac:dyDescent="0.25">
      <c r="C7" s="6" t="s">
        <v>22</v>
      </c>
      <c r="D7" s="13">
        <f>SUM(D2:D6)</f>
        <v>607.45000000000005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berekenaar</vt:lpstr>
      <vt:lpstr>assumpties</vt:lpstr>
      <vt:lpstr>hulpcellen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2022-10-07T19:59:30Z</dcterms:created>
  <dcterms:modified xsi:type="dcterms:W3CDTF">2022-10-07T19:59:40Z</dcterms:modified>
</cp:coreProperties>
</file>